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bc\ldv\Documents\Лахтионов\ДОУ на 250 мест\отделка\"/>
    </mc:Choice>
  </mc:AlternateContent>
  <xr:revisionPtr revIDLastSave="0" documentId="13_ncr:1_{CBE96FE6-929B-40E3-B394-CD0324EBB612}" xr6:coauthVersionLast="47" xr6:coauthVersionMax="47" xr10:uidLastSave="{00000000-0000-0000-0000-000000000000}"/>
  <bookViews>
    <workbookView xWindow="-120" yWindow="-120" windowWidth="38640" windowHeight="23520" xr2:uid="{00000000-000D-0000-FFFF-FFFF00000000}"/>
  </bookViews>
  <sheets>
    <sheet name="тех.пом подвал" sheetId="2" r:id="rId1"/>
  </sheets>
  <definedNames>
    <definedName name="_xlnm.Print_Area" localSheetId="0">'тех.пом подвал'!$A$3:$W$57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8" i="2" l="1"/>
  <c r="O47" i="2"/>
  <c r="K11" i="2"/>
  <c r="L14" i="2"/>
  <c r="L15" i="2"/>
  <c r="K14" i="2"/>
  <c r="F11" i="2"/>
  <c r="F14" i="2"/>
  <c r="M12" i="2"/>
  <c r="M13" i="2" s="1"/>
  <c r="M11" i="2"/>
  <c r="K53" i="2"/>
  <c r="E37" i="2" l="1"/>
  <c r="F37" i="2"/>
  <c r="I37" i="2"/>
  <c r="J37" i="2"/>
  <c r="L37" i="2"/>
  <c r="M37" i="2"/>
  <c r="N37" i="2"/>
  <c r="O37" i="2"/>
  <c r="P37" i="2"/>
  <c r="O51" i="2" l="1"/>
  <c r="Q51" i="2" s="1"/>
  <c r="I48" i="2"/>
  <c r="N47" i="2"/>
  <c r="N49" i="2" s="1"/>
  <c r="N50" i="2" s="1"/>
  <c r="J48" i="2"/>
  <c r="J47" i="2"/>
  <c r="I47" i="2"/>
  <c r="I49" i="2" s="1"/>
  <c r="I50" i="2" s="1"/>
  <c r="K49" i="2"/>
  <c r="K50" i="2" s="1"/>
  <c r="L49" i="2"/>
  <c r="L50" i="2" s="1"/>
  <c r="M49" i="2"/>
  <c r="M50" i="2" s="1"/>
  <c r="H48" i="2"/>
  <c r="H47" i="2"/>
  <c r="G48" i="2"/>
  <c r="G47" i="2"/>
  <c r="F47" i="2"/>
  <c r="F49" i="2" s="1"/>
  <c r="F50" i="2" s="1"/>
  <c r="E48" i="2"/>
  <c r="E47" i="2"/>
  <c r="D43" i="2"/>
  <c r="E49" i="2" l="1"/>
  <c r="E50" i="2" s="1"/>
  <c r="H49" i="2"/>
  <c r="H50" i="2" s="1"/>
  <c r="G49" i="2"/>
  <c r="G50" i="2" s="1"/>
  <c r="J49" i="2"/>
  <c r="J50" i="2" s="1"/>
  <c r="Q48" i="2"/>
  <c r="Q47" i="2"/>
  <c r="Q50" i="2" l="1"/>
  <c r="Q49" i="2"/>
  <c r="E44" i="2" l="1"/>
  <c r="E45" i="2" s="1"/>
  <c r="F44" i="2"/>
  <c r="F45" i="2" s="1"/>
  <c r="G44" i="2"/>
  <c r="G45" i="2" s="1"/>
  <c r="H44" i="2"/>
  <c r="H45" i="2" s="1"/>
  <c r="I44" i="2"/>
  <c r="I45" i="2" s="1"/>
  <c r="J44" i="2"/>
  <c r="J45" i="2" s="1"/>
  <c r="N44" i="2"/>
  <c r="N45" i="2" s="1"/>
  <c r="O44" i="2"/>
  <c r="O45" i="2" s="1"/>
  <c r="F30" i="2"/>
  <c r="G30" i="2"/>
  <c r="G31" i="2" s="1"/>
  <c r="H30" i="2"/>
  <c r="H31" i="2" s="1"/>
  <c r="K30" i="2"/>
  <c r="K31" i="2" s="1"/>
  <c r="P30" i="2"/>
  <c r="P31" i="2" s="1"/>
  <c r="H25" i="2"/>
  <c r="I25" i="2"/>
  <c r="J25" i="2"/>
  <c r="K25" i="2"/>
  <c r="L25" i="2"/>
  <c r="M25" i="2"/>
  <c r="N25" i="2"/>
  <c r="O25" i="2"/>
  <c r="P25" i="2"/>
  <c r="D26" i="2"/>
  <c r="E24" i="2"/>
  <c r="F24" i="2"/>
  <c r="G24" i="2"/>
  <c r="H24" i="2"/>
  <c r="I24" i="2"/>
  <c r="J24" i="2"/>
  <c r="K24" i="2"/>
  <c r="L24" i="2"/>
  <c r="M24" i="2"/>
  <c r="N24" i="2"/>
  <c r="O24" i="2"/>
  <c r="P24" i="2"/>
  <c r="D24" i="2"/>
  <c r="L54" i="2"/>
  <c r="Q54" i="2" s="1"/>
  <c r="K55" i="2"/>
  <c r="Q53" i="2" l="1"/>
  <c r="F31" i="2"/>
  <c r="L55" i="2"/>
  <c r="Q55" i="2" s="1"/>
  <c r="Q39" i="2" l="1"/>
  <c r="L40" i="2"/>
  <c r="K40" i="2"/>
  <c r="P15" i="2"/>
  <c r="P16" i="2" s="1"/>
  <c r="K16" i="2"/>
  <c r="K12" i="2"/>
  <c r="K13" i="2" s="1"/>
  <c r="L11" i="2"/>
  <c r="P11" i="2"/>
  <c r="L16" i="2"/>
  <c r="L12" i="2"/>
  <c r="P12" i="2"/>
  <c r="P13" i="2" s="1"/>
  <c r="Q40" i="2" l="1"/>
  <c r="N9" i="2"/>
  <c r="J9" i="2"/>
  <c r="E9" i="2"/>
  <c r="P7" i="2"/>
  <c r="Q15" i="2"/>
  <c r="F12" i="2"/>
  <c r="F13" i="2" s="1"/>
  <c r="P43" i="2"/>
  <c r="P44" i="2" s="1"/>
  <c r="P45" i="2" s="1"/>
  <c r="M43" i="2"/>
  <c r="M44" i="2" s="1"/>
  <c r="M45" i="2" s="1"/>
  <c r="L43" i="2"/>
  <c r="L44" i="2" s="1"/>
  <c r="L45" i="2" s="1"/>
  <c r="D44" i="2"/>
  <c r="K43" i="2"/>
  <c r="K44" i="2" s="1"/>
  <c r="K45" i="2" s="1"/>
  <c r="O26" i="2"/>
  <c r="M26" i="2"/>
  <c r="L26" i="2"/>
  <c r="K26" i="2"/>
  <c r="I26" i="2"/>
  <c r="H26" i="2"/>
  <c r="G26" i="2"/>
  <c r="F26" i="2"/>
  <c r="Q24" i="2"/>
  <c r="G25" i="2"/>
  <c r="Q25" i="2" s="1"/>
  <c r="Q23" i="2"/>
  <c r="Q22" i="2"/>
  <c r="F16" i="2"/>
  <c r="O8" i="2"/>
  <c r="Q8" i="2" s="1"/>
  <c r="O19" i="2"/>
  <c r="O20" i="2" s="1"/>
  <c r="O29" i="2" s="1"/>
  <c r="O30" i="2" s="1"/>
  <c r="O31" i="2" s="1"/>
  <c r="N29" i="2"/>
  <c r="N30" i="2" s="1"/>
  <c r="N31" i="2" s="1"/>
  <c r="J29" i="2"/>
  <c r="J30" i="2" s="1"/>
  <c r="J31" i="2" s="1"/>
  <c r="E29" i="2"/>
  <c r="E30" i="2" s="1"/>
  <c r="F33" i="2" l="1"/>
  <c r="D45" i="2"/>
  <c r="Q45" i="2" s="1"/>
  <c r="Q44" i="2"/>
  <c r="E31" i="2"/>
  <c r="Q9" i="2"/>
  <c r="Q43" i="2"/>
  <c r="Q26" i="2"/>
  <c r="M7" i="2"/>
  <c r="M6" i="2"/>
  <c r="I7" i="2"/>
  <c r="I6" i="2"/>
  <c r="L7" i="2"/>
  <c r="L6" i="2"/>
  <c r="K7" i="2"/>
  <c r="K6" i="2"/>
  <c r="D7" i="2"/>
  <c r="D6" i="2"/>
  <c r="M14" i="2"/>
  <c r="M16" i="2" s="1"/>
  <c r="M29" i="2" s="1"/>
  <c r="M30" i="2" s="1"/>
  <c r="M31" i="2" s="1"/>
  <c r="H14" i="2"/>
  <c r="H16" i="2" s="1"/>
  <c r="H36" i="2" s="1"/>
  <c r="H37" i="2" s="1"/>
  <c r="H12" i="2"/>
  <c r="H13" i="2" s="1"/>
  <c r="H11" i="2"/>
  <c r="I14" i="2"/>
  <c r="I16" i="2" s="1"/>
  <c r="I29" i="2" s="1"/>
  <c r="I30" i="2" s="1"/>
  <c r="I31" i="2" s="1"/>
  <c r="I12" i="2"/>
  <c r="I13" i="2" s="1"/>
  <c r="I11" i="2"/>
  <c r="Q20" i="2"/>
  <c r="G11" i="2"/>
  <c r="D11" i="2"/>
  <c r="L13" i="2"/>
  <c r="L29" i="2"/>
  <c r="L30" i="2" s="1"/>
  <c r="L31" i="2" s="1"/>
  <c r="K36" i="2"/>
  <c r="K37" i="2" s="1"/>
  <c r="G14" i="2"/>
  <c r="G16" i="2" s="1"/>
  <c r="G36" i="2" s="1"/>
  <c r="G37" i="2" s="1"/>
  <c r="G12" i="2"/>
  <c r="G13" i="2" s="1"/>
  <c r="D14" i="2"/>
  <c r="D12" i="2"/>
  <c r="D13" i="2" s="1"/>
  <c r="Q13" i="2" l="1"/>
  <c r="Q33" i="2"/>
  <c r="F34" i="2"/>
  <c r="Q30" i="2"/>
  <c r="Q31" i="2"/>
  <c r="Q11" i="2"/>
  <c r="Q6" i="2"/>
  <c r="Q12" i="2"/>
  <c r="Q14" i="2"/>
  <c r="Q7" i="2"/>
  <c r="Q29" i="2"/>
  <c r="Q18" i="2"/>
  <c r="Q19" i="2"/>
  <c r="D16" i="2"/>
  <c r="Q34" i="2" l="1"/>
  <c r="Q16" i="2"/>
  <c r="D36" i="2"/>
  <c r="D37" i="2" s="1"/>
  <c r="Q36" i="2" l="1"/>
  <c r="Q37" i="2" l="1"/>
</calcChain>
</file>

<file path=xl/sharedStrings.xml><?xml version="1.0" encoding="utf-8"?>
<sst xmlns="http://schemas.openxmlformats.org/spreadsheetml/2006/main" count="134" uniqueCount="92">
  <si>
    <t>м2</t>
  </si>
  <si>
    <t>ИТОГО</t>
  </si>
  <si>
    <t>ед. изм</t>
  </si>
  <si>
    <t>ПОЛЫ</t>
  </si>
  <si>
    <t>ПОТОЛКИ</t>
  </si>
  <si>
    <t>СТЕНЫ</t>
  </si>
  <si>
    <t>шт</t>
  </si>
  <si>
    <t>тип 1</t>
  </si>
  <si>
    <t>Плиты минераловатные типа Роквул Флор Баттс – 40мм</t>
  </si>
  <si>
    <t>Полиэтиленовая пленка 150мкм – 1 слой</t>
  </si>
  <si>
    <t>0.1 – ИТП</t>
  </si>
  <si>
    <t>0.3 – Помещение водоподготовки
бассейна</t>
  </si>
  <si>
    <t>0.4 – Бойлерная</t>
  </si>
  <si>
    <t xml:space="preserve"> 0.5 – Хоз.-питьевая насосная</t>
  </si>
  <si>
    <t xml:space="preserve"> 0.6 – Водомерный узел</t>
  </si>
  <si>
    <t>0.10 – Прит. – вытяжная венткамера</t>
  </si>
  <si>
    <t>0.12 - ПУИ</t>
  </si>
  <si>
    <t>0.12 – ПУИ</t>
  </si>
  <si>
    <t>тип 3</t>
  </si>
  <si>
    <t>тип 6</t>
  </si>
  <si>
    <t>0.2 – Кабельная</t>
  </si>
  <si>
    <t>0.7 – помещение для хранения реагентов</t>
  </si>
  <si>
    <t>тип 7</t>
  </si>
  <si>
    <t>тип 9*</t>
  </si>
  <si>
    <t>0.11 - кладовая люминнесценных ламп</t>
  </si>
  <si>
    <t>типы отделки</t>
  </si>
  <si>
    <t>Элементы пола, потолков и стен</t>
  </si>
  <si>
    <t>пом.02 - кабельная,  0.6 – Водомерный узел, 07 - помещение для хранения реагентов, 0.9, 0.10– Прит. – вытяжная венткамера, 0.11 - кладовая люминнесценных ламп, 0.12 – ПУИ</t>
  </si>
  <si>
    <t>л.22.1-АР</t>
  </si>
  <si>
    <t>Решетка РП-1 1140х1140 мм h=40 мм, размер несущих полос 40х4 (cварной решечатый настил, шаг несущих полос 34,3 мм) типы обрамления настила SP-тип А ЗАО "Солид" или аналог</t>
  </si>
  <si>
    <t>Решетка РП-2 650х650 мм h=40 мм, размер несущих полос 40х4 (cварной решечатый настил, шаг несущих полос 34,3 мм) типы обрамления настила SP-тип А ЗАО "Солид" или аналог</t>
  </si>
  <si>
    <t>Уголок 100х7</t>
  </si>
  <si>
    <t>Уголок 80х50х5</t>
  </si>
  <si>
    <t>Антикоррозийная обработка уголка "Аквафин 2К" или "Sika Тop -109 Elasto cem"</t>
  </si>
  <si>
    <t>Установка решеток в приямки с изготовлением и установкой обрамления из уголка:</t>
  </si>
  <si>
    <r>
      <t>Цементно -песчаная стяжка р-р М150 армированная сеткой Ø4Вр1 с ячейкой 100х100мм –</t>
    </r>
    <r>
      <rPr>
        <b/>
        <sz val="11"/>
        <color theme="1"/>
        <rFont val="Times New Roman"/>
        <family val="1"/>
        <charset val="204"/>
      </rPr>
      <t xml:space="preserve"> 41 мм</t>
    </r>
  </si>
  <si>
    <t>тип К</t>
  </si>
  <si>
    <t>Звкукоизоляция  стен 0.1 – ИТП, 0.8, 0.9, 0.10, 0.13– Прит. – вытяжная венткамера</t>
  </si>
  <si>
    <t>0.1 – ИТП,  0.4 – Бойлерная,  0.5 – Хоз.-питьевая насосная, 0.8, 0.13 – Прит. – вытяжная венткамера</t>
  </si>
  <si>
    <t>тип 2, тип 2.1</t>
  </si>
  <si>
    <t xml:space="preserve"> Устройство пандусов в пом. 0.14, 0.15, 0.16, 0.13- подвал</t>
  </si>
  <si>
    <t>тип Ж1, Г3</t>
  </si>
  <si>
    <t>0.9 – Прит. – вытяжная венткамера+форкамера</t>
  </si>
  <si>
    <t>тип 9</t>
  </si>
  <si>
    <t>0.1 – ИТП, 0.3 – Помещение водоподготовки
бассейна, 0.4 – Бойлерная, 0.5 – Хоз.-питьевая насосная, 0.6 – Водомерный узел, 0.8, 0.9, 0.10, 0.13 – Прит. – вытяжная венткамера (Полы – раздельные с отрывом от стен); 0.8, 0.9- форкамеры</t>
  </si>
  <si>
    <t xml:space="preserve">0.13 – Прит. – вытяжная венткамера </t>
  </si>
  <si>
    <t>0.8 – Прит. – вытяжная венткамера+форкамера</t>
  </si>
  <si>
    <t>0.9, 0.8– форкамеры</t>
  </si>
  <si>
    <t>тип Ж, Г2</t>
  </si>
  <si>
    <t xml:space="preserve">0.8, 0.9– Прит. – вытяжная венткамера Утепление стен форкамер </t>
  </si>
  <si>
    <t>утеплить на всю высоту</t>
  </si>
  <si>
    <t>мп</t>
  </si>
  <si>
    <t xml:space="preserve">Выравнивание сухими цемент-песчанными смесяии </t>
  </si>
  <si>
    <t>Цена за ед. материалы, в т.ч. НДС, руб.</t>
  </si>
  <si>
    <t>Цена всего за материалы, в т.ч. НДС, руб.</t>
  </si>
  <si>
    <t>Цена за ед. работу, в т.ч. НДС, руб.</t>
  </si>
  <si>
    <t>Цена всего за работу, в т.ч. НДС, руб.</t>
  </si>
  <si>
    <t>Итого, в т.ч. НДС, руб.</t>
  </si>
  <si>
    <t>0.2 - кабельная, 0.3 - пом. водоподготовки бассейна, 0.4 - бойлерная, 0.5  хоз.-пит насосная, 0.6 - водомерный узел, 0.7 - пом. для хранения реагентов, 0.11 - кладовая люминцентных ламп, 0.12 - ПУИ</t>
  </si>
  <si>
    <t>Окраска алкидной  краской  за 2 раза</t>
  </si>
  <si>
    <t xml:space="preserve">Окраска алкидной краской  за 2 раза </t>
  </si>
  <si>
    <t>Выравнивание сухими цемент-песчанными смесяии  (по монолиту)</t>
  </si>
  <si>
    <t>Выравнивание сухими цемент-песчанными смесяии  (по кирпичу)</t>
  </si>
  <si>
    <r>
      <t xml:space="preserve">Облицовка стен листами </t>
    </r>
    <r>
      <rPr>
        <b/>
        <sz val="11"/>
        <rFont val="Times New Roman"/>
        <family val="1"/>
        <charset val="204"/>
      </rPr>
      <t xml:space="preserve">ГКЛВ в 2 слоя  </t>
    </r>
    <r>
      <rPr>
        <sz val="11"/>
        <rFont val="Times New Roman"/>
        <family val="1"/>
        <charset val="204"/>
      </rPr>
      <t>по металлическому каркасу с звукоизоляцией</t>
    </r>
    <r>
      <rPr>
        <b/>
        <sz val="11"/>
        <rFont val="Times New Roman"/>
        <family val="1"/>
        <charset val="204"/>
      </rPr>
      <t xml:space="preserve"> Акустик Баттс -50 мм </t>
    </r>
    <r>
      <rPr>
        <sz val="11"/>
        <rFont val="Times New Roman"/>
        <family val="1"/>
        <charset val="204"/>
      </rPr>
      <t>с устройством воздушного зазора 20 мм от стены. Общая толщина</t>
    </r>
    <r>
      <rPr>
        <b/>
        <sz val="11"/>
        <rFont val="Times New Roman"/>
        <family val="1"/>
        <charset val="204"/>
      </rPr>
      <t xml:space="preserve"> 95 мм</t>
    </r>
  </si>
  <si>
    <t>в т.ч. Потолок под чашей</t>
  </si>
  <si>
    <r>
      <t>Утепление Жесткие МВП типа ТЕХНОФАС плотностью 140 кг/м3 на клеевом составе;   с устройство армирующего слоя  (стеклосетка щелочестойкая + клей шпатлевка для армирования теплоизоляционных плит -</t>
    </r>
    <r>
      <rPr>
        <b/>
        <sz val="11"/>
        <rFont val="Times New Roman"/>
        <family val="1"/>
        <charset val="204"/>
      </rPr>
      <t xml:space="preserve"> 150 мм</t>
    </r>
  </si>
  <si>
    <r>
      <t xml:space="preserve">Утепление Жесткие МВП типа ТЕХНОФАС плотностью 140 кг/м3 на клеевом составе;   с устройство армирующего слоя  (стеклосетка щелочестойкая + клей шпатлевка для армирования теплоизоляционных плит - </t>
    </r>
    <r>
      <rPr>
        <b/>
        <sz val="11"/>
        <rFont val="Times New Roman"/>
        <family val="1"/>
        <charset val="204"/>
      </rPr>
      <t>50 мм</t>
    </r>
  </si>
  <si>
    <r>
      <t xml:space="preserve">Утепление Жесткие МВП типа ТЕХНОФАС плотностью 140 кг/м3 на клеевом составе;   с устройство армирующего слоя  (стеклосетка щелочестойкая + клей шпатлевка для армирования теплоизоляционных пли - </t>
    </r>
    <r>
      <rPr>
        <b/>
        <sz val="11"/>
        <color theme="1"/>
        <rFont val="Times New Roman"/>
        <family val="1"/>
        <charset val="204"/>
      </rPr>
      <t>100 мм</t>
    </r>
  </si>
  <si>
    <t>Окраска белой алкидной краской КМ2</t>
  </si>
  <si>
    <t>Утепление Жесткие МВП типа ФАСАД БАТТС ОПТИМА  50 мм на клеевом составе;   с устройство армирующего слоя  стеклосетка щелочестойкая+ клей шпатлевка для армирования теплоизоляционных плит</t>
  </si>
  <si>
    <t xml:space="preserve">Утепление Жесткие МВП типа ФАСАД БАТТС ОПТИМА  100 мм на клеевом составе;   с устройство армирующего слоя  стеклосетка щелочестойкая+ клей шпатлевка для армирования теплоизоляционных плит </t>
  </si>
  <si>
    <t>объем с заводом на стены высотой 300 мм</t>
  </si>
  <si>
    <t>объем с заводом на стены высотой 140 мм</t>
  </si>
  <si>
    <r>
      <t>Цементно-песчанная стяжка р-р М150 армированная сеткой д.4Вр1 с яч. 100х100 мм -</t>
    </r>
    <r>
      <rPr>
        <b/>
        <sz val="11"/>
        <color theme="1"/>
        <rFont val="Times New Roman"/>
        <family val="1"/>
        <charset val="204"/>
      </rPr>
      <t>50 мм (пом. 0.2, 0.7, 0.11)</t>
    </r>
  </si>
  <si>
    <r>
      <t>Цементно-песчанная стяжка р-р М150 армированная сеткой д.4Вр1 с яч. 100х100 мм -</t>
    </r>
    <r>
      <rPr>
        <b/>
        <sz val="11"/>
        <color theme="1"/>
        <rFont val="Times New Roman"/>
        <family val="1"/>
        <charset val="204"/>
      </rPr>
      <t xml:space="preserve"> 0-65 мм (разуклонка) (0.12)</t>
    </r>
  </si>
  <si>
    <r>
      <t>Цементно-песчанная стяжка р-р М150 армированная сеткой д.4Вр1 с яч. 100х100 мм -</t>
    </r>
    <r>
      <rPr>
        <b/>
        <sz val="11"/>
        <color theme="1"/>
        <rFont val="Times New Roman"/>
        <family val="1"/>
        <charset val="204"/>
      </rPr>
      <t xml:space="preserve"> 0-185 мм (разуклонка) (0.1, 0.5, 0.6, 0.8, 0.9, 0.10, 0.13)</t>
    </r>
  </si>
  <si>
    <r>
      <t>Цементно-песчанная стяжка р-р М150 армированная сеткой д.4Вр1 с яч. 100х100 мм -</t>
    </r>
    <r>
      <rPr>
        <b/>
        <sz val="11"/>
        <color theme="1"/>
        <rFont val="Times New Roman"/>
        <family val="1"/>
        <charset val="204"/>
      </rPr>
      <t xml:space="preserve"> 185 мм (0.1, 0.5, 0.6, 0.8, 0.9, 0.10, 0.13)</t>
    </r>
  </si>
  <si>
    <t>Керамическая плитка на влагостойком  клее на всю высоту (пом. ПУИ)</t>
  </si>
  <si>
    <t>РАСЧЕТ СТОИМОСТИ ДОУ НА 250 МЕСТ, 6 КВАРТАЛ</t>
  </si>
  <si>
    <t>Примечание</t>
  </si>
  <si>
    <t>Керамический гранит технический соль-перец 300х300, на клею "Ветонит" - 15 мм</t>
  </si>
  <si>
    <r>
      <t>Цементно -песчаная стяжка р-р М150 армированная сеткой Ø4Вр1 с ячейкой 100х100мм  – 125мм</t>
    </r>
    <r>
      <rPr>
        <b/>
        <sz val="11"/>
        <color theme="1"/>
        <rFont val="Times New Roman"/>
        <family val="1"/>
        <charset val="204"/>
      </rPr>
      <t xml:space="preserve"> (пом. 0.13+форкамеры 0.8, 0.9)</t>
    </r>
  </si>
  <si>
    <r>
      <t>Цементно -песчаная стяжка р-р М150 армированная сеткой Ø4Вр1 с ячейкой 100х100мм</t>
    </r>
    <r>
      <rPr>
        <b/>
        <sz val="11"/>
        <color theme="1"/>
        <rFont val="Times New Roman"/>
        <family val="1"/>
        <charset val="204"/>
      </rPr>
      <t xml:space="preserve"> (по уклону) – 85-125мм</t>
    </r>
  </si>
  <si>
    <t>Шпаклевка цементная</t>
  </si>
  <si>
    <t>Шпатлевка цементная по ГКЛ</t>
  </si>
  <si>
    <t>Шпатлевка цементная</t>
  </si>
  <si>
    <r>
      <t xml:space="preserve">Окраска  краской  </t>
    </r>
    <r>
      <rPr>
        <b/>
        <sz val="11"/>
        <rFont val="Times New Roman"/>
        <family val="1"/>
        <charset val="204"/>
      </rPr>
      <t xml:space="preserve"> КМ0 </t>
    </r>
  </si>
  <si>
    <r>
      <t xml:space="preserve">Окраска  краской </t>
    </r>
    <r>
      <rPr>
        <b/>
        <sz val="11"/>
        <rFont val="Times New Roman"/>
        <family val="1"/>
        <charset val="204"/>
      </rPr>
      <t xml:space="preserve"> КМ0 </t>
    </r>
  </si>
  <si>
    <t>Примечание:</t>
  </si>
  <si>
    <t xml:space="preserve">Гидроизоляция “Технониколь” по праймеру, b=5мм, </t>
  </si>
  <si>
    <t>Гидроизоляция “Технониколь” по праймеру, b=5мм</t>
  </si>
  <si>
    <t xml:space="preserve">3. Все используемые материалы,  должны иметь паспорт качества, сертификаты соотвествия, сертификат пожарной и экологической безопасности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</si>
</sst>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E6F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65">
    <xf numFmtId="0" fontId="0" fillId="0" borderId="0" xfId="0"/>
    <xf numFmtId="0" fontId="0" fillId="0" borderId="0" xfId="0" applyFill="1"/>
    <xf numFmtId="0" fontId="2" fillId="0" borderId="0" xfId="0" applyFont="1" applyFill="1"/>
    <xf numFmtId="0" fontId="6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 wrapText="1"/>
    </xf>
    <xf numFmtId="2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2" fontId="13" fillId="0" borderId="1" xfId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textRotation="90" wrapText="1"/>
    </xf>
    <xf numFmtId="0" fontId="10" fillId="2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0" xfId="0" applyFont="1"/>
    <xf numFmtId="0" fontId="16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3">
    <cellStyle name="Обычный" xfId="0" builtinId="0"/>
    <cellStyle name="Обычный 2" xfId="2" xr:uid="{00000000-0005-0000-0000-000001000000}"/>
    <cellStyle name="Обычный 2 2 2" xfId="1" xr:uid="{00000000-0005-0000-0000-000002000000}"/>
  </cellStyles>
  <dxfs count="0"/>
  <tableStyles count="0" defaultTableStyle="TableStyleMedium2" defaultPivotStyle="PivotStyleLight16"/>
  <colors>
    <mruColors>
      <color rgb="FFFEE6FE"/>
      <color rgb="FFFF99FF"/>
      <color rgb="FFFF99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58"/>
  <sheetViews>
    <sheetView tabSelected="1" zoomScale="130" zoomScaleNormal="130" workbookViewId="0">
      <pane ySplit="3" topLeftCell="A4" activePane="bottomLeft" state="frozen"/>
      <selection pane="bottomLeft" activeCell="N69" sqref="N69"/>
    </sheetView>
  </sheetViews>
  <sheetFormatPr defaultRowHeight="15" x14ac:dyDescent="0.25"/>
  <cols>
    <col min="2" max="2" width="33.140625" customWidth="1"/>
    <col min="3" max="3" width="6.140625" customWidth="1"/>
    <col min="4" max="4" width="5.42578125" customWidth="1"/>
    <col min="5" max="5" width="6.28515625" customWidth="1"/>
    <col min="6" max="6" width="9" customWidth="1"/>
    <col min="7" max="7" width="5.42578125" customWidth="1"/>
    <col min="8" max="10" width="6.28515625" customWidth="1"/>
    <col min="11" max="12" width="12" customWidth="1"/>
    <col min="13" max="13" width="9.140625" customWidth="1"/>
    <col min="14" max="14" width="9" customWidth="1"/>
    <col min="15" max="15" width="8" customWidth="1"/>
    <col min="16" max="16" width="9" customWidth="1"/>
    <col min="17" max="17" width="7.28515625" bestFit="1" customWidth="1"/>
    <col min="18" max="18" width="13" customWidth="1"/>
    <col min="19" max="19" width="14" customWidth="1"/>
    <col min="20" max="20" width="13.85546875" customWidth="1"/>
    <col min="21" max="21" width="14.5703125" customWidth="1"/>
    <col min="22" max="22" width="14" customWidth="1"/>
    <col min="23" max="23" width="23" customWidth="1"/>
    <col min="24" max="24" width="37.140625" customWidth="1"/>
  </cols>
  <sheetData>
    <row r="1" spans="1:28" ht="21" x14ac:dyDescent="0.35">
      <c r="K1" s="62" t="s">
        <v>78</v>
      </c>
    </row>
    <row r="3" spans="1:28" ht="114.75" x14ac:dyDescent="0.25">
      <c r="A3" s="21" t="s">
        <v>25</v>
      </c>
      <c r="B3" s="22" t="s">
        <v>26</v>
      </c>
      <c r="C3" s="22" t="s">
        <v>2</v>
      </c>
      <c r="D3" s="54" t="s">
        <v>10</v>
      </c>
      <c r="E3" s="54" t="s">
        <v>20</v>
      </c>
      <c r="F3" s="54" t="s">
        <v>11</v>
      </c>
      <c r="G3" s="54" t="s">
        <v>12</v>
      </c>
      <c r="H3" s="54" t="s">
        <v>13</v>
      </c>
      <c r="I3" s="54" t="s">
        <v>14</v>
      </c>
      <c r="J3" s="54" t="s">
        <v>21</v>
      </c>
      <c r="K3" s="54" t="s">
        <v>46</v>
      </c>
      <c r="L3" s="54" t="s">
        <v>42</v>
      </c>
      <c r="M3" s="54" t="s">
        <v>15</v>
      </c>
      <c r="N3" s="54" t="s">
        <v>24</v>
      </c>
      <c r="O3" s="54" t="s">
        <v>17</v>
      </c>
      <c r="P3" s="54" t="s">
        <v>45</v>
      </c>
      <c r="Q3" s="34" t="s">
        <v>1</v>
      </c>
      <c r="R3" s="51" t="s">
        <v>53</v>
      </c>
      <c r="S3" s="51" t="s">
        <v>54</v>
      </c>
      <c r="T3" s="52" t="s">
        <v>55</v>
      </c>
      <c r="U3" s="51" t="s">
        <v>56</v>
      </c>
      <c r="V3" s="51" t="s">
        <v>57</v>
      </c>
      <c r="W3" s="63" t="s">
        <v>79</v>
      </c>
    </row>
    <row r="4" spans="1:28" x14ac:dyDescent="0.25">
      <c r="A4" s="44"/>
      <c r="B4" s="45" t="s">
        <v>3</v>
      </c>
      <c r="C4" s="46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8"/>
      <c r="R4" s="48"/>
      <c r="S4" s="48"/>
      <c r="T4" s="48"/>
      <c r="U4" s="48"/>
      <c r="V4" s="48"/>
      <c r="W4" s="49"/>
    </row>
    <row r="5" spans="1:28" ht="28.5" x14ac:dyDescent="0.25">
      <c r="A5" s="18" t="s">
        <v>7</v>
      </c>
      <c r="B5" s="7" t="s">
        <v>40</v>
      </c>
      <c r="C5" s="8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14"/>
      <c r="R5" s="14"/>
      <c r="S5" s="14"/>
      <c r="T5" s="14"/>
      <c r="U5" s="14"/>
      <c r="V5" s="14"/>
      <c r="W5" s="14"/>
      <c r="X5" s="1"/>
      <c r="Y5" s="1"/>
      <c r="Z5" s="1"/>
      <c r="AA5" s="1"/>
      <c r="AB5" s="1"/>
    </row>
    <row r="6" spans="1:28" ht="59.25" x14ac:dyDescent="0.25">
      <c r="A6" s="10"/>
      <c r="B6" s="4" t="s">
        <v>76</v>
      </c>
      <c r="C6" s="23" t="s">
        <v>0</v>
      </c>
      <c r="D6" s="11">
        <f>19.35</f>
        <v>19.350000000000001</v>
      </c>
      <c r="E6" s="11"/>
      <c r="F6" s="11"/>
      <c r="G6" s="11"/>
      <c r="H6" s="11">
        <v>4.16</v>
      </c>
      <c r="I6" s="11">
        <f>0.26+2.7</f>
        <v>2.96</v>
      </c>
      <c r="J6" s="11"/>
      <c r="K6" s="11">
        <f>9.17</f>
        <v>9.17</v>
      </c>
      <c r="L6" s="11">
        <f>3.44</f>
        <v>3.44</v>
      </c>
      <c r="M6" s="11">
        <f>0.25+5.13</f>
        <v>5.38</v>
      </c>
      <c r="N6" s="11"/>
      <c r="O6" s="11"/>
      <c r="P6" s="11">
        <v>2.87</v>
      </c>
      <c r="Q6" s="13">
        <f>SUM(D6:P6)</f>
        <v>47.33</v>
      </c>
      <c r="R6" s="13"/>
      <c r="S6" s="13"/>
      <c r="T6" s="13"/>
      <c r="U6" s="13"/>
      <c r="V6" s="13"/>
      <c r="W6" s="12"/>
      <c r="X6" s="1"/>
      <c r="Y6" s="1"/>
      <c r="Z6" s="1"/>
      <c r="AA6" s="1"/>
      <c r="AB6" s="1"/>
    </row>
    <row r="7" spans="1:28" ht="73.5" x14ac:dyDescent="0.25">
      <c r="A7" s="25"/>
      <c r="B7" s="4" t="s">
        <v>75</v>
      </c>
      <c r="C7" s="23" t="s">
        <v>0</v>
      </c>
      <c r="D7" s="28">
        <f>1.8+1.6+1.1+1.53</f>
        <v>6.03</v>
      </c>
      <c r="E7" s="28"/>
      <c r="F7" s="11"/>
      <c r="G7" s="28"/>
      <c r="H7" s="28">
        <v>3</v>
      </c>
      <c r="I7" s="28">
        <f>0.9+0.48+1.68</f>
        <v>3.0599999999999996</v>
      </c>
      <c r="J7" s="28"/>
      <c r="K7" s="28">
        <f>3.25</f>
        <v>3.25</v>
      </c>
      <c r="L7" s="28">
        <f>2.19</f>
        <v>2.19</v>
      </c>
      <c r="M7" s="28">
        <f>1.6+1.6+1.35</f>
        <v>4.5500000000000007</v>
      </c>
      <c r="N7" s="28"/>
      <c r="O7" s="28"/>
      <c r="P7" s="28">
        <f>0.75+1.73</f>
        <v>2.48</v>
      </c>
      <c r="Q7" s="13">
        <f>SUM(D7:P7)</f>
        <v>24.560000000000002</v>
      </c>
      <c r="R7" s="13"/>
      <c r="S7" s="13"/>
      <c r="T7" s="13"/>
      <c r="U7" s="13"/>
      <c r="V7" s="13"/>
      <c r="W7" s="25"/>
      <c r="X7" s="1"/>
      <c r="Y7" s="1"/>
      <c r="Z7" s="1"/>
      <c r="AA7" s="1"/>
      <c r="AB7" s="1"/>
    </row>
    <row r="8" spans="1:28" ht="59.25" x14ac:dyDescent="0.25">
      <c r="A8" s="25"/>
      <c r="B8" s="4" t="s">
        <v>74</v>
      </c>
      <c r="C8" s="23" t="s">
        <v>0</v>
      </c>
      <c r="D8" s="28"/>
      <c r="E8" s="28"/>
      <c r="F8" s="11"/>
      <c r="G8" s="28"/>
      <c r="H8" s="28"/>
      <c r="I8" s="28"/>
      <c r="J8" s="28"/>
      <c r="K8" s="28"/>
      <c r="L8" s="28"/>
      <c r="M8" s="28"/>
      <c r="N8" s="28"/>
      <c r="O8" s="28">
        <f>1.7</f>
        <v>1.7</v>
      </c>
      <c r="P8" s="28"/>
      <c r="Q8" s="13">
        <f>SUM(D8:P8)</f>
        <v>1.7</v>
      </c>
      <c r="R8" s="13"/>
      <c r="S8" s="13"/>
      <c r="T8" s="13"/>
      <c r="U8" s="13"/>
      <c r="V8" s="13"/>
      <c r="W8" s="25"/>
      <c r="X8" s="1"/>
      <c r="Y8" s="1"/>
      <c r="Z8" s="1"/>
      <c r="AA8" s="1"/>
      <c r="AB8" s="1"/>
    </row>
    <row r="9" spans="1:28" ht="59.25" x14ac:dyDescent="0.25">
      <c r="A9" s="25"/>
      <c r="B9" s="4" t="s">
        <v>73</v>
      </c>
      <c r="C9" s="23" t="s">
        <v>0</v>
      </c>
      <c r="D9" s="28"/>
      <c r="E9" s="28">
        <f>10.14</f>
        <v>10.14</v>
      </c>
      <c r="F9" s="11"/>
      <c r="G9" s="28"/>
      <c r="H9" s="28"/>
      <c r="I9" s="28"/>
      <c r="J9" s="28">
        <f>10.72</f>
        <v>10.72</v>
      </c>
      <c r="K9" s="28"/>
      <c r="L9" s="28"/>
      <c r="M9" s="28"/>
      <c r="N9" s="28">
        <f>29.07</f>
        <v>29.07</v>
      </c>
      <c r="O9" s="28"/>
      <c r="P9" s="28"/>
      <c r="Q9" s="13">
        <f>SUM(D9:P9)</f>
        <v>49.93</v>
      </c>
      <c r="R9" s="13"/>
      <c r="S9" s="13"/>
      <c r="T9" s="13"/>
      <c r="U9" s="13"/>
      <c r="V9" s="13"/>
      <c r="W9" s="25"/>
      <c r="X9" s="1"/>
      <c r="Y9" s="1"/>
      <c r="Z9" s="1"/>
      <c r="AA9" s="1"/>
      <c r="AB9" s="1"/>
    </row>
    <row r="10" spans="1:28" ht="128.25" x14ac:dyDescent="0.25">
      <c r="A10" s="8" t="s">
        <v>39</v>
      </c>
      <c r="B10" s="7" t="s">
        <v>44</v>
      </c>
      <c r="C10" s="8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15"/>
      <c r="R10" s="15"/>
      <c r="S10" s="15"/>
      <c r="T10" s="15"/>
      <c r="U10" s="15"/>
      <c r="V10" s="15"/>
      <c r="W10" s="14"/>
      <c r="X10" s="27"/>
      <c r="Y10" s="1"/>
      <c r="Z10" s="1"/>
      <c r="AA10" s="1"/>
      <c r="AB10" s="1"/>
    </row>
    <row r="11" spans="1:28" ht="32.25" customHeight="1" x14ac:dyDescent="0.25">
      <c r="A11" s="12"/>
      <c r="B11" s="4" t="s">
        <v>89</v>
      </c>
      <c r="C11" s="24" t="s">
        <v>0</v>
      </c>
      <c r="D11" s="11">
        <f>40.64-1+(28.21*0.3)</f>
        <v>48.103000000000002</v>
      </c>
      <c r="E11" s="29"/>
      <c r="F11" s="11">
        <f>83.98-1+(40.3+21.9+22-6)*0.3</f>
        <v>106.44</v>
      </c>
      <c r="G11" s="11">
        <f>10.58+12.2*0.3</f>
        <v>14.24</v>
      </c>
      <c r="H11" s="11">
        <f>23.16-0.25+23.38*0.3</f>
        <v>29.923999999999999</v>
      </c>
      <c r="I11" s="11">
        <f>22.7-0.25+21.66*0.3</f>
        <v>28.948</v>
      </c>
      <c r="J11" s="29"/>
      <c r="K11" s="11">
        <f>(25.85+22.4*0.3)+(1.55+0.3*5.02)</f>
        <v>35.625999999999998</v>
      </c>
      <c r="L11" s="11">
        <f>20.1-0.25+19.84*0.3+(1.71+0.3*5.24)</f>
        <v>29.084</v>
      </c>
      <c r="M11" s="11">
        <f>38.97-0.25+33.94*0.3</f>
        <v>48.902000000000001</v>
      </c>
      <c r="N11" s="29"/>
      <c r="O11" s="11"/>
      <c r="P11" s="11">
        <f>(29.6+21.82*0.3)+(1.55+5.02*0.3)</f>
        <v>39.201999999999998</v>
      </c>
      <c r="Q11" s="30">
        <f t="shared" ref="Q11:Q16" si="0">SUM(D11:P11)</f>
        <v>380.46899999999999</v>
      </c>
      <c r="R11" s="30"/>
      <c r="S11" s="30"/>
      <c r="T11" s="30"/>
      <c r="U11" s="30"/>
      <c r="V11" s="30"/>
      <c r="W11" s="26" t="s">
        <v>71</v>
      </c>
      <c r="X11" s="3"/>
      <c r="Y11" s="5"/>
      <c r="Z11" s="2"/>
      <c r="AA11" s="2"/>
      <c r="AB11" s="3"/>
    </row>
    <row r="12" spans="1:28" ht="27" customHeight="1" x14ac:dyDescent="0.25">
      <c r="A12" s="25"/>
      <c r="B12" s="4" t="s">
        <v>8</v>
      </c>
      <c r="C12" s="24" t="s">
        <v>0</v>
      </c>
      <c r="D12" s="11">
        <f>40.64-1+(28.21*0.14)</f>
        <v>43.589399999999998</v>
      </c>
      <c r="E12" s="29"/>
      <c r="F12" s="11">
        <f>83.98-1+(40.3+21.9+22-6)*0.14</f>
        <v>93.927999999999997</v>
      </c>
      <c r="G12" s="11">
        <f>10.58+12.2*0.14</f>
        <v>12.288</v>
      </c>
      <c r="H12" s="11">
        <f>23.16-0.25+23.38*0.14</f>
        <v>26.183199999999999</v>
      </c>
      <c r="I12" s="11">
        <f>22.7-0.25+21.66*0.14</f>
        <v>25.482399999999998</v>
      </c>
      <c r="J12" s="29"/>
      <c r="K12" s="11">
        <f>(25.85+22.4*0.14)+(1.55+0.14*5.02)</f>
        <v>31.238800000000001</v>
      </c>
      <c r="L12" s="11">
        <f>20.1-0.25+19.84*0.14+(1.71+0.14*5.24)</f>
        <v>25.071200000000001</v>
      </c>
      <c r="M12" s="11">
        <f>38.97-0.25+33.94*0.14</f>
        <v>43.471599999999995</v>
      </c>
      <c r="N12" s="29"/>
      <c r="O12" s="11"/>
      <c r="P12" s="11">
        <f>(29.6+21.82*0.14)+(1.55+5.02*0.14)</f>
        <v>34.907600000000002</v>
      </c>
      <c r="Q12" s="30">
        <f t="shared" si="0"/>
        <v>336.16020000000003</v>
      </c>
      <c r="R12" s="30"/>
      <c r="S12" s="30"/>
      <c r="T12" s="30"/>
      <c r="U12" s="30"/>
      <c r="V12" s="30"/>
      <c r="W12" s="26" t="s">
        <v>72</v>
      </c>
      <c r="X12" s="1"/>
      <c r="Y12" s="1"/>
      <c r="Z12" s="1"/>
      <c r="AA12" s="1"/>
      <c r="AB12" s="1"/>
    </row>
    <row r="13" spans="1:28" ht="27" customHeight="1" x14ac:dyDescent="0.25">
      <c r="A13" s="25"/>
      <c r="B13" s="4" t="s">
        <v>9</v>
      </c>
      <c r="C13" s="24" t="s">
        <v>0</v>
      </c>
      <c r="D13" s="11">
        <f t="shared" ref="D13:L13" si="1">D12</f>
        <v>43.589399999999998</v>
      </c>
      <c r="E13" s="29"/>
      <c r="F13" s="11">
        <f>F12</f>
        <v>93.927999999999997</v>
      </c>
      <c r="G13" s="11">
        <f t="shared" si="1"/>
        <v>12.288</v>
      </c>
      <c r="H13" s="11">
        <f t="shared" si="1"/>
        <v>26.183199999999999</v>
      </c>
      <c r="I13" s="11">
        <f t="shared" si="1"/>
        <v>25.482399999999998</v>
      </c>
      <c r="J13" s="29"/>
      <c r="K13" s="11">
        <f>K12</f>
        <v>31.238800000000001</v>
      </c>
      <c r="L13" s="11">
        <f t="shared" si="1"/>
        <v>25.071200000000001</v>
      </c>
      <c r="M13" s="11">
        <f>M12</f>
        <v>43.471599999999995</v>
      </c>
      <c r="N13" s="29"/>
      <c r="O13" s="11"/>
      <c r="P13" s="11">
        <f>P12</f>
        <v>34.907600000000002</v>
      </c>
      <c r="Q13" s="30">
        <f>SUM(D13:P13)</f>
        <v>336.16020000000003</v>
      </c>
      <c r="R13" s="30"/>
      <c r="S13" s="30"/>
      <c r="T13" s="30"/>
      <c r="U13" s="30"/>
      <c r="V13" s="30"/>
      <c r="W13" s="26" t="s">
        <v>72</v>
      </c>
      <c r="X13" s="1"/>
      <c r="Y13" s="1"/>
      <c r="Z13" s="1"/>
      <c r="AA13" s="1"/>
      <c r="AB13" s="1"/>
    </row>
    <row r="14" spans="1:28" ht="59.25" x14ac:dyDescent="0.25">
      <c r="A14" s="25"/>
      <c r="B14" s="4" t="s">
        <v>82</v>
      </c>
      <c r="C14" s="24" t="s">
        <v>0</v>
      </c>
      <c r="D14" s="11">
        <f>40.64-1</f>
        <v>39.64</v>
      </c>
      <c r="E14" s="29"/>
      <c r="F14" s="11">
        <f>83.98-1</f>
        <v>82.98</v>
      </c>
      <c r="G14" s="11">
        <f>10.58-0.25</f>
        <v>10.33</v>
      </c>
      <c r="H14" s="11">
        <f>23.16-0.25</f>
        <v>22.91</v>
      </c>
      <c r="I14" s="11">
        <f>22.7-0.25</f>
        <v>22.45</v>
      </c>
      <c r="J14" s="29"/>
      <c r="K14" s="11">
        <f>25.85</f>
        <v>25.85</v>
      </c>
      <c r="L14" s="11">
        <f>20.1-0.25</f>
        <v>19.850000000000001</v>
      </c>
      <c r="M14" s="11">
        <f>38.97-0.25</f>
        <v>38.72</v>
      </c>
      <c r="N14" s="29"/>
      <c r="O14" s="11"/>
      <c r="P14" s="11"/>
      <c r="Q14" s="30">
        <f t="shared" si="0"/>
        <v>262.73</v>
      </c>
      <c r="R14" s="30"/>
      <c r="S14" s="30"/>
      <c r="T14" s="30"/>
      <c r="U14" s="30"/>
      <c r="V14" s="30"/>
      <c r="W14" s="25"/>
      <c r="X14" s="1"/>
      <c r="Y14" s="1"/>
      <c r="Z14" s="1"/>
      <c r="AA14" s="1"/>
      <c r="AB14" s="1"/>
    </row>
    <row r="15" spans="1:28" ht="59.25" x14ac:dyDescent="0.25">
      <c r="A15" s="25"/>
      <c r="B15" s="4" t="s">
        <v>81</v>
      </c>
      <c r="C15" s="24" t="s">
        <v>0</v>
      </c>
      <c r="D15" s="11"/>
      <c r="E15" s="29"/>
      <c r="F15" s="11"/>
      <c r="G15" s="11"/>
      <c r="H15" s="11"/>
      <c r="I15" s="11"/>
      <c r="J15" s="29"/>
      <c r="K15" s="11">
        <v>1.55</v>
      </c>
      <c r="L15" s="11">
        <f>1.71</f>
        <v>1.71</v>
      </c>
      <c r="M15" s="11"/>
      <c r="N15" s="29"/>
      <c r="O15" s="11"/>
      <c r="P15" s="11">
        <f>29.6</f>
        <v>29.6</v>
      </c>
      <c r="Q15" s="30">
        <f t="shared" si="0"/>
        <v>32.86</v>
      </c>
      <c r="R15" s="30"/>
      <c r="S15" s="30"/>
      <c r="T15" s="30"/>
      <c r="U15" s="30"/>
      <c r="V15" s="30"/>
      <c r="W15" s="25"/>
      <c r="X15" s="1"/>
      <c r="Y15" s="1"/>
      <c r="Z15" s="1"/>
      <c r="AA15" s="1"/>
      <c r="AB15" s="1"/>
    </row>
    <row r="16" spans="1:28" ht="45" x14ac:dyDescent="0.25">
      <c r="A16" s="25"/>
      <c r="B16" s="9" t="s">
        <v>80</v>
      </c>
      <c r="C16" s="24" t="s">
        <v>0</v>
      </c>
      <c r="D16" s="11">
        <f>D14</f>
        <v>39.64</v>
      </c>
      <c r="E16" s="29"/>
      <c r="F16" s="11">
        <f>83.98-1</f>
        <v>82.98</v>
      </c>
      <c r="G16" s="11">
        <f>G14</f>
        <v>10.33</v>
      </c>
      <c r="H16" s="11">
        <f>H14</f>
        <v>22.91</v>
      </c>
      <c r="I16" s="11">
        <f>I14</f>
        <v>22.45</v>
      </c>
      <c r="J16" s="29"/>
      <c r="K16" s="11">
        <f>K14</f>
        <v>25.85</v>
      </c>
      <c r="L16" s="11">
        <f>L14</f>
        <v>19.850000000000001</v>
      </c>
      <c r="M16" s="11">
        <f>M14</f>
        <v>38.72</v>
      </c>
      <c r="N16" s="29"/>
      <c r="O16" s="11"/>
      <c r="P16" s="11">
        <f>P15</f>
        <v>29.6</v>
      </c>
      <c r="Q16" s="30">
        <f t="shared" si="0"/>
        <v>292.33000000000004</v>
      </c>
      <c r="R16" s="30"/>
      <c r="S16" s="30"/>
      <c r="T16" s="30"/>
      <c r="U16" s="30"/>
      <c r="V16" s="30"/>
      <c r="W16" s="25"/>
      <c r="X16" s="1"/>
      <c r="Y16" s="1"/>
      <c r="Z16" s="1"/>
      <c r="AA16" s="1"/>
      <c r="AB16" s="1"/>
    </row>
    <row r="17" spans="1:28" x14ac:dyDescent="0.25">
      <c r="A17" s="18" t="s">
        <v>18</v>
      </c>
      <c r="B17" s="7" t="s">
        <v>16</v>
      </c>
      <c r="C17" s="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15"/>
      <c r="R17" s="15"/>
      <c r="S17" s="15"/>
      <c r="T17" s="15"/>
      <c r="U17" s="15"/>
      <c r="V17" s="15"/>
      <c r="W17" s="14"/>
      <c r="X17" s="5"/>
      <c r="Y17" s="1"/>
      <c r="Z17" s="1"/>
      <c r="AA17" s="1"/>
      <c r="AB17" s="1"/>
    </row>
    <row r="18" spans="1:28" ht="30" x14ac:dyDescent="0.25">
      <c r="A18" s="25"/>
      <c r="B18" s="4" t="s">
        <v>90</v>
      </c>
      <c r="C18" s="23" t="s">
        <v>0</v>
      </c>
      <c r="D18" s="28"/>
      <c r="E18" s="31"/>
      <c r="F18" s="28"/>
      <c r="G18" s="28"/>
      <c r="H18" s="28"/>
      <c r="I18" s="28"/>
      <c r="J18" s="31"/>
      <c r="K18" s="28"/>
      <c r="L18" s="28"/>
      <c r="M18" s="28"/>
      <c r="N18" s="31"/>
      <c r="O18" s="28">
        <v>8.1</v>
      </c>
      <c r="P18" s="28"/>
      <c r="Q18" s="30">
        <f>SUM(D18:P18)</f>
        <v>8.1</v>
      </c>
      <c r="R18" s="30"/>
      <c r="S18" s="30"/>
      <c r="T18" s="30"/>
      <c r="U18" s="30"/>
      <c r="V18" s="30"/>
      <c r="W18" s="25"/>
      <c r="X18" s="1"/>
      <c r="Y18" s="1"/>
      <c r="Z18" s="1"/>
      <c r="AA18" s="1"/>
      <c r="AB18" s="1"/>
    </row>
    <row r="19" spans="1:28" ht="45" x14ac:dyDescent="0.25">
      <c r="A19" s="25"/>
      <c r="B19" s="4" t="s">
        <v>35</v>
      </c>
      <c r="C19" s="23" t="s">
        <v>0</v>
      </c>
      <c r="D19" s="28"/>
      <c r="E19" s="31"/>
      <c r="F19" s="28"/>
      <c r="G19" s="28"/>
      <c r="H19" s="28"/>
      <c r="I19" s="28"/>
      <c r="J19" s="31"/>
      <c r="K19" s="28"/>
      <c r="L19" s="28"/>
      <c r="M19" s="28"/>
      <c r="N19" s="31"/>
      <c r="O19" s="28">
        <f>O18</f>
        <v>8.1</v>
      </c>
      <c r="P19" s="28"/>
      <c r="Q19" s="30">
        <f>SUM(D19:P19)</f>
        <v>8.1</v>
      </c>
      <c r="R19" s="30"/>
      <c r="S19" s="30"/>
      <c r="T19" s="30"/>
      <c r="U19" s="30"/>
      <c r="V19" s="30"/>
      <c r="W19" s="25"/>
      <c r="X19" s="1"/>
      <c r="Y19" s="1"/>
      <c r="Z19" s="1"/>
      <c r="AA19" s="1"/>
      <c r="AB19" s="1"/>
    </row>
    <row r="20" spans="1:28" ht="45" x14ac:dyDescent="0.25">
      <c r="A20" s="25"/>
      <c r="B20" s="4" t="s">
        <v>80</v>
      </c>
      <c r="C20" s="23" t="s">
        <v>0</v>
      </c>
      <c r="D20" s="28"/>
      <c r="E20" s="31"/>
      <c r="F20" s="28"/>
      <c r="G20" s="28"/>
      <c r="H20" s="28"/>
      <c r="I20" s="28"/>
      <c r="J20" s="31"/>
      <c r="K20" s="28"/>
      <c r="L20" s="28"/>
      <c r="M20" s="28"/>
      <c r="N20" s="31"/>
      <c r="O20" s="28">
        <f>O19</f>
        <v>8.1</v>
      </c>
      <c r="P20" s="28"/>
      <c r="Q20" s="30">
        <f>SUM(D20:P20)</f>
        <v>8.1</v>
      </c>
      <c r="R20" s="30"/>
      <c r="S20" s="30"/>
      <c r="T20" s="30"/>
      <c r="U20" s="30"/>
      <c r="V20" s="30"/>
      <c r="W20" s="25"/>
      <c r="X20" s="5"/>
      <c r="Y20" s="1"/>
      <c r="Z20" s="1"/>
      <c r="AA20" s="1"/>
      <c r="AB20" s="1"/>
    </row>
    <row r="21" spans="1:28" ht="45.75" customHeight="1" x14ac:dyDescent="0.25">
      <c r="A21" s="38" t="s">
        <v>28</v>
      </c>
      <c r="B21" s="39" t="s">
        <v>34</v>
      </c>
      <c r="C21" s="38"/>
      <c r="D21" s="40"/>
      <c r="E21" s="41"/>
      <c r="F21" s="40"/>
      <c r="G21" s="40"/>
      <c r="H21" s="40"/>
      <c r="I21" s="40"/>
      <c r="J21" s="41"/>
      <c r="K21" s="40"/>
      <c r="L21" s="40"/>
      <c r="M21" s="40"/>
      <c r="N21" s="41"/>
      <c r="O21" s="40"/>
      <c r="P21" s="40"/>
      <c r="Q21" s="41"/>
      <c r="R21" s="41"/>
      <c r="S21" s="41"/>
      <c r="T21" s="41"/>
      <c r="U21" s="41"/>
      <c r="V21" s="41"/>
      <c r="W21" s="42"/>
      <c r="X21" s="5"/>
      <c r="Y21" s="1"/>
      <c r="Z21" s="1"/>
      <c r="AA21" s="1"/>
      <c r="AB21" s="1"/>
    </row>
    <row r="22" spans="1:28" ht="90" x14ac:dyDescent="0.25">
      <c r="A22" s="25"/>
      <c r="B22" s="9" t="s">
        <v>29</v>
      </c>
      <c r="C22" s="24" t="s">
        <v>6</v>
      </c>
      <c r="D22" s="11">
        <v>1</v>
      </c>
      <c r="E22" s="29"/>
      <c r="F22" s="11">
        <v>1</v>
      </c>
      <c r="G22" s="11"/>
      <c r="H22" s="11"/>
      <c r="I22" s="11"/>
      <c r="J22" s="29"/>
      <c r="K22" s="11"/>
      <c r="L22" s="11"/>
      <c r="M22" s="11"/>
      <c r="N22" s="29"/>
      <c r="O22" s="11"/>
      <c r="P22" s="11"/>
      <c r="Q22" s="30">
        <f>SUM(D22:P22)</f>
        <v>2</v>
      </c>
      <c r="R22" s="30"/>
      <c r="S22" s="30"/>
      <c r="T22" s="30"/>
      <c r="U22" s="30"/>
      <c r="V22" s="30"/>
      <c r="W22" s="25"/>
      <c r="X22" s="5"/>
      <c r="Y22" s="1"/>
      <c r="Z22" s="1"/>
      <c r="AA22" s="1"/>
      <c r="AB22" s="1"/>
    </row>
    <row r="23" spans="1:28" ht="90" x14ac:dyDescent="0.25">
      <c r="A23" s="25"/>
      <c r="B23" s="9" t="s">
        <v>30</v>
      </c>
      <c r="C23" s="24" t="s">
        <v>6</v>
      </c>
      <c r="D23" s="11"/>
      <c r="E23" s="29"/>
      <c r="F23" s="11"/>
      <c r="G23" s="11">
        <v>1</v>
      </c>
      <c r="H23" s="11">
        <v>1</v>
      </c>
      <c r="I23" s="11">
        <v>1</v>
      </c>
      <c r="J23" s="29"/>
      <c r="K23" s="11">
        <v>1</v>
      </c>
      <c r="L23" s="11">
        <v>1</v>
      </c>
      <c r="M23" s="11">
        <v>1</v>
      </c>
      <c r="N23" s="29"/>
      <c r="O23" s="11">
        <v>3</v>
      </c>
      <c r="P23" s="11"/>
      <c r="Q23" s="30">
        <f>SUM(D23:P23)</f>
        <v>9</v>
      </c>
      <c r="R23" s="30"/>
      <c r="S23" s="30"/>
      <c r="T23" s="30"/>
      <c r="U23" s="30"/>
      <c r="V23" s="30"/>
      <c r="W23" s="25"/>
      <c r="X23" s="5"/>
      <c r="Y23" s="1"/>
      <c r="Z23" s="1"/>
      <c r="AA23" s="1"/>
      <c r="AB23" s="1"/>
    </row>
    <row r="24" spans="1:28" x14ac:dyDescent="0.25">
      <c r="A24" s="25"/>
      <c r="B24" s="9" t="s">
        <v>31</v>
      </c>
      <c r="C24" s="24" t="s">
        <v>51</v>
      </c>
      <c r="D24" s="11">
        <f>1.16*4*D22</f>
        <v>4.6399999999999997</v>
      </c>
      <c r="E24" s="11">
        <f t="shared" ref="E24:P24" si="2">1.16*4*E22</f>
        <v>0</v>
      </c>
      <c r="F24" s="11">
        <f t="shared" si="2"/>
        <v>4.6399999999999997</v>
      </c>
      <c r="G24" s="11">
        <f t="shared" si="2"/>
        <v>0</v>
      </c>
      <c r="H24" s="11">
        <f t="shared" si="2"/>
        <v>0</v>
      </c>
      <c r="I24" s="11">
        <f t="shared" si="2"/>
        <v>0</v>
      </c>
      <c r="J24" s="11">
        <f t="shared" si="2"/>
        <v>0</v>
      </c>
      <c r="K24" s="11">
        <f t="shared" si="2"/>
        <v>0</v>
      </c>
      <c r="L24" s="11">
        <f t="shared" si="2"/>
        <v>0</v>
      </c>
      <c r="M24" s="11">
        <f t="shared" si="2"/>
        <v>0</v>
      </c>
      <c r="N24" s="11">
        <f t="shared" si="2"/>
        <v>0</v>
      </c>
      <c r="O24" s="11">
        <f t="shared" si="2"/>
        <v>0</v>
      </c>
      <c r="P24" s="11">
        <f t="shared" si="2"/>
        <v>0</v>
      </c>
      <c r="Q24" s="30">
        <f t="shared" ref="Q24:Q25" si="3">SUM(D24:P24)</f>
        <v>9.2799999999999994</v>
      </c>
      <c r="R24" s="30"/>
      <c r="S24" s="30"/>
      <c r="T24" s="30"/>
      <c r="U24" s="30"/>
      <c r="V24" s="30"/>
      <c r="W24" s="25"/>
      <c r="X24" s="5"/>
      <c r="Y24" s="1"/>
      <c r="Z24" s="1"/>
      <c r="AA24" s="1"/>
      <c r="AB24" s="1"/>
    </row>
    <row r="25" spans="1:28" x14ac:dyDescent="0.25">
      <c r="A25" s="25"/>
      <c r="B25" s="9" t="s">
        <v>32</v>
      </c>
      <c r="C25" s="24" t="s">
        <v>51</v>
      </c>
      <c r="D25" s="11"/>
      <c r="E25" s="29"/>
      <c r="F25" s="11"/>
      <c r="G25" s="11">
        <f>0.66*4*G23</f>
        <v>2.64</v>
      </c>
      <c r="H25" s="11">
        <f t="shared" ref="H25:P25" si="4">0.66*4*H23</f>
        <v>2.64</v>
      </c>
      <c r="I25" s="11">
        <f t="shared" si="4"/>
        <v>2.64</v>
      </c>
      <c r="J25" s="11">
        <f t="shared" si="4"/>
        <v>0</v>
      </c>
      <c r="K25" s="11">
        <f t="shared" si="4"/>
        <v>2.64</v>
      </c>
      <c r="L25" s="11">
        <f t="shared" si="4"/>
        <v>2.64</v>
      </c>
      <c r="M25" s="11">
        <f t="shared" si="4"/>
        <v>2.64</v>
      </c>
      <c r="N25" s="11">
        <f t="shared" si="4"/>
        <v>0</v>
      </c>
      <c r="O25" s="11">
        <f t="shared" si="4"/>
        <v>7.92</v>
      </c>
      <c r="P25" s="11">
        <f t="shared" si="4"/>
        <v>0</v>
      </c>
      <c r="Q25" s="30">
        <f t="shared" si="3"/>
        <v>23.76</v>
      </c>
      <c r="R25" s="30"/>
      <c r="S25" s="30"/>
      <c r="T25" s="30"/>
      <c r="U25" s="30"/>
      <c r="V25" s="30"/>
      <c r="W25" s="25"/>
      <c r="X25" s="5"/>
      <c r="Y25" s="1"/>
      <c r="Z25" s="1"/>
      <c r="AA25" s="1"/>
      <c r="AB25" s="1"/>
    </row>
    <row r="26" spans="1:28" ht="45" x14ac:dyDescent="0.25">
      <c r="A26" s="25"/>
      <c r="B26" s="9" t="s">
        <v>33</v>
      </c>
      <c r="C26" s="24" t="s">
        <v>0</v>
      </c>
      <c r="D26" s="11">
        <f>(0.1+0.1+0.1+0.1)*1.16*4*D22</f>
        <v>1.8559999999999999</v>
      </c>
      <c r="E26" s="29"/>
      <c r="F26" s="11">
        <f>(0.1+0.1+0.1+0.1)*1.16*4*F22</f>
        <v>1.8559999999999999</v>
      </c>
      <c r="G26" s="11">
        <f>(0.08+0.08+0.05+0.05)*0.66*4*G23</f>
        <v>0.68640000000000001</v>
      </c>
      <c r="H26" s="11">
        <f>(0.08+0.08+0.05+0.05)*0.66*4*H23</f>
        <v>0.68640000000000001</v>
      </c>
      <c r="I26" s="11">
        <f>(0.08+0.08+0.05+0.05)*0.66*4*I23</f>
        <v>0.68640000000000001</v>
      </c>
      <c r="J26" s="29"/>
      <c r="K26" s="11">
        <f>(0.08+0.08+0.05+0.05)*0.66*4*K23</f>
        <v>0.68640000000000001</v>
      </c>
      <c r="L26" s="11">
        <f>(0.08+0.08+0.05+0.05)*0.66*4*L23</f>
        <v>0.68640000000000001</v>
      </c>
      <c r="M26" s="11">
        <f>(0.08+0.08+0.05+0.05)*0.66*4*M23</f>
        <v>0.68640000000000001</v>
      </c>
      <c r="N26" s="29"/>
      <c r="O26" s="11">
        <f>(0.08+0.08+0.05+0.05)*0.66*4*O23</f>
        <v>2.0592000000000001</v>
      </c>
      <c r="P26" s="11"/>
      <c r="Q26" s="30">
        <f>SUM(D26:P26)</f>
        <v>9.8895999999999997</v>
      </c>
      <c r="R26" s="30"/>
      <c r="S26" s="30"/>
      <c r="T26" s="30"/>
      <c r="U26" s="30"/>
      <c r="V26" s="30"/>
      <c r="W26" s="25"/>
      <c r="X26" s="5"/>
      <c r="Y26" s="1"/>
      <c r="Z26" s="1"/>
      <c r="AA26" s="1"/>
      <c r="AB26" s="1"/>
    </row>
    <row r="27" spans="1:28" x14ac:dyDescent="0.25">
      <c r="A27" s="44"/>
      <c r="B27" s="45" t="s">
        <v>4</v>
      </c>
      <c r="C27" s="46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9"/>
      <c r="X27" s="1"/>
      <c r="Y27" s="1"/>
      <c r="Z27" s="1"/>
      <c r="AA27" s="1"/>
      <c r="AB27" s="1"/>
    </row>
    <row r="28" spans="1:28" ht="99.75" x14ac:dyDescent="0.25">
      <c r="A28" s="18" t="s">
        <v>19</v>
      </c>
      <c r="B28" s="7" t="s">
        <v>27</v>
      </c>
      <c r="C28" s="8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4"/>
      <c r="X28" s="1"/>
      <c r="Y28" s="1"/>
      <c r="Z28" s="1"/>
      <c r="AA28" s="1"/>
      <c r="AB28" s="1"/>
    </row>
    <row r="29" spans="1:28" ht="30" x14ac:dyDescent="0.25">
      <c r="A29" s="35"/>
      <c r="B29" s="20" t="s">
        <v>52</v>
      </c>
      <c r="C29" s="32" t="s">
        <v>0</v>
      </c>
      <c r="D29" s="25"/>
      <c r="E29" s="25">
        <f>10.14</f>
        <v>10.14</v>
      </c>
      <c r="F29" s="25"/>
      <c r="G29" s="36"/>
      <c r="H29" s="25"/>
      <c r="I29" s="28">
        <f>I16</f>
        <v>22.45</v>
      </c>
      <c r="J29" s="25">
        <f>10.72</f>
        <v>10.72</v>
      </c>
      <c r="K29" s="25"/>
      <c r="L29" s="28">
        <f>L16</f>
        <v>19.850000000000001</v>
      </c>
      <c r="M29" s="28">
        <f>M16</f>
        <v>38.72</v>
      </c>
      <c r="N29" s="25">
        <f>29.07</f>
        <v>29.07</v>
      </c>
      <c r="O29" s="28">
        <f>O20</f>
        <v>8.1</v>
      </c>
      <c r="P29" s="28"/>
      <c r="Q29" s="17">
        <f>SUM(D29:P29)</f>
        <v>139.04999999999998</v>
      </c>
      <c r="R29" s="17"/>
      <c r="S29" s="17"/>
      <c r="T29" s="17"/>
      <c r="U29" s="17"/>
      <c r="V29" s="17"/>
      <c r="W29" s="19"/>
      <c r="X29" s="5"/>
      <c r="Y29" s="1"/>
      <c r="Z29" s="1"/>
      <c r="AA29" s="1"/>
      <c r="AB29" s="1"/>
    </row>
    <row r="30" spans="1:28" x14ac:dyDescent="0.25">
      <c r="A30" s="35"/>
      <c r="B30" s="20" t="s">
        <v>83</v>
      </c>
      <c r="C30" s="32" t="s">
        <v>0</v>
      </c>
      <c r="D30" s="25"/>
      <c r="E30" s="25">
        <f>E29</f>
        <v>10.14</v>
      </c>
      <c r="F30" s="25">
        <f t="shared" ref="F30:P31" si="5">F29</f>
        <v>0</v>
      </c>
      <c r="G30" s="25">
        <f t="shared" si="5"/>
        <v>0</v>
      </c>
      <c r="H30" s="25">
        <f t="shared" si="5"/>
        <v>0</v>
      </c>
      <c r="I30" s="25">
        <f t="shared" si="5"/>
        <v>22.45</v>
      </c>
      <c r="J30" s="25">
        <f t="shared" si="5"/>
        <v>10.72</v>
      </c>
      <c r="K30" s="25">
        <f t="shared" si="5"/>
        <v>0</v>
      </c>
      <c r="L30" s="25">
        <f t="shared" si="5"/>
        <v>19.850000000000001</v>
      </c>
      <c r="M30" s="25">
        <f t="shared" si="5"/>
        <v>38.72</v>
      </c>
      <c r="N30" s="25">
        <f t="shared" si="5"/>
        <v>29.07</v>
      </c>
      <c r="O30" s="25">
        <f t="shared" si="5"/>
        <v>8.1</v>
      </c>
      <c r="P30" s="25">
        <f t="shared" si="5"/>
        <v>0</v>
      </c>
      <c r="Q30" s="17">
        <f t="shared" ref="Q30:Q31" si="6">SUM(D30:P30)</f>
        <v>139.04999999999998</v>
      </c>
      <c r="R30" s="17"/>
      <c r="S30" s="17"/>
      <c r="T30" s="17"/>
      <c r="U30" s="17"/>
      <c r="V30" s="17"/>
      <c r="W30" s="19"/>
      <c r="X30" s="5"/>
      <c r="Y30" s="1"/>
      <c r="Z30" s="1"/>
      <c r="AA30" s="1"/>
      <c r="AB30" s="1"/>
    </row>
    <row r="31" spans="1:28" ht="30" x14ac:dyDescent="0.25">
      <c r="A31" s="35"/>
      <c r="B31" s="37" t="s">
        <v>60</v>
      </c>
      <c r="C31" s="32" t="s">
        <v>0</v>
      </c>
      <c r="D31" s="25"/>
      <c r="E31" s="25">
        <f>E30</f>
        <v>10.14</v>
      </c>
      <c r="F31" s="25">
        <f t="shared" si="5"/>
        <v>0</v>
      </c>
      <c r="G31" s="25">
        <f t="shared" si="5"/>
        <v>0</v>
      </c>
      <c r="H31" s="25">
        <f t="shared" si="5"/>
        <v>0</v>
      </c>
      <c r="I31" s="25">
        <f t="shared" si="5"/>
        <v>22.45</v>
      </c>
      <c r="J31" s="25">
        <f t="shared" si="5"/>
        <v>10.72</v>
      </c>
      <c r="K31" s="25">
        <f t="shared" si="5"/>
        <v>0</v>
      </c>
      <c r="L31" s="25">
        <f t="shared" si="5"/>
        <v>19.850000000000001</v>
      </c>
      <c r="M31" s="25">
        <f t="shared" si="5"/>
        <v>38.72</v>
      </c>
      <c r="N31" s="25">
        <f t="shared" si="5"/>
        <v>29.07</v>
      </c>
      <c r="O31" s="25">
        <f t="shared" si="5"/>
        <v>8.1</v>
      </c>
      <c r="P31" s="25">
        <f t="shared" si="5"/>
        <v>0</v>
      </c>
      <c r="Q31" s="17">
        <f t="shared" si="6"/>
        <v>139.04999999999998</v>
      </c>
      <c r="R31" s="17"/>
      <c r="S31" s="17"/>
      <c r="T31" s="17"/>
      <c r="U31" s="17"/>
      <c r="V31" s="17"/>
      <c r="W31" s="19"/>
      <c r="X31" s="5"/>
      <c r="Y31" s="1"/>
      <c r="Z31" s="1"/>
      <c r="AA31" s="1"/>
      <c r="AB31" s="1"/>
    </row>
    <row r="32" spans="1:28" ht="42.75" x14ac:dyDescent="0.25">
      <c r="A32" s="18" t="s">
        <v>22</v>
      </c>
      <c r="B32" s="7" t="s">
        <v>11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8"/>
      <c r="R32" s="18"/>
      <c r="S32" s="18"/>
      <c r="T32" s="18"/>
      <c r="U32" s="18"/>
      <c r="V32" s="18"/>
      <c r="W32" s="14"/>
      <c r="X32" s="1"/>
      <c r="Y32" s="1"/>
      <c r="Z32" s="1"/>
      <c r="AA32" s="1"/>
      <c r="AB32" s="1"/>
    </row>
    <row r="33" spans="1:28" ht="105" x14ac:dyDescent="0.25">
      <c r="A33" s="25"/>
      <c r="B33" s="9" t="s">
        <v>67</v>
      </c>
      <c r="C33" s="25" t="s">
        <v>0</v>
      </c>
      <c r="D33" s="25"/>
      <c r="E33" s="25"/>
      <c r="F33" s="28">
        <f>F16</f>
        <v>82.98</v>
      </c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30">
        <f>SUM(D33:P33)</f>
        <v>82.98</v>
      </c>
      <c r="R33" s="30"/>
      <c r="S33" s="30"/>
      <c r="T33" s="30"/>
      <c r="U33" s="30"/>
      <c r="V33" s="30"/>
      <c r="W33" s="26" t="s">
        <v>64</v>
      </c>
      <c r="X33" s="5"/>
      <c r="Y33" s="1"/>
      <c r="Z33" s="1"/>
      <c r="AA33" s="1"/>
      <c r="AB33" s="1"/>
    </row>
    <row r="34" spans="1:28" ht="30" x14ac:dyDescent="0.25">
      <c r="A34" s="25"/>
      <c r="B34" s="37" t="s">
        <v>68</v>
      </c>
      <c r="C34" s="25" t="s">
        <v>0</v>
      </c>
      <c r="D34" s="25"/>
      <c r="E34" s="25"/>
      <c r="F34" s="28">
        <f>F33</f>
        <v>82.98</v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30">
        <f>SUM(D34:P34)</f>
        <v>82.98</v>
      </c>
      <c r="R34" s="30"/>
      <c r="S34" s="30"/>
      <c r="T34" s="30"/>
      <c r="U34" s="30"/>
      <c r="V34" s="30"/>
      <c r="W34" s="25"/>
      <c r="X34" s="1"/>
      <c r="Y34" s="1"/>
      <c r="Z34" s="1"/>
      <c r="AA34" s="1"/>
      <c r="AB34" s="1"/>
    </row>
    <row r="35" spans="1:28" ht="74.25" customHeight="1" x14ac:dyDescent="0.25">
      <c r="A35" s="18" t="s">
        <v>23</v>
      </c>
      <c r="B35" s="55" t="s">
        <v>38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8"/>
      <c r="R35" s="18"/>
      <c r="S35" s="18"/>
      <c r="T35" s="18"/>
      <c r="U35" s="18"/>
      <c r="V35" s="18"/>
      <c r="W35" s="14"/>
      <c r="X35" s="1"/>
      <c r="Y35" s="1"/>
      <c r="Z35" s="1"/>
      <c r="AA35" s="1"/>
      <c r="AB35" s="1"/>
    </row>
    <row r="36" spans="1:28" ht="105" x14ac:dyDescent="0.25">
      <c r="A36" s="25"/>
      <c r="B36" s="37" t="s">
        <v>66</v>
      </c>
      <c r="C36" s="25" t="s">
        <v>0</v>
      </c>
      <c r="D36" s="28">
        <f>D16</f>
        <v>39.64</v>
      </c>
      <c r="E36" s="25"/>
      <c r="F36" s="25"/>
      <c r="G36" s="28">
        <f>G16</f>
        <v>10.33</v>
      </c>
      <c r="H36" s="28">
        <f>H16</f>
        <v>22.91</v>
      </c>
      <c r="I36" s="25"/>
      <c r="J36" s="25"/>
      <c r="K36" s="28">
        <f>K16</f>
        <v>25.85</v>
      </c>
      <c r="L36" s="25"/>
      <c r="M36" s="25"/>
      <c r="N36" s="25"/>
      <c r="O36" s="25"/>
      <c r="P36" s="25">
        <v>29.6</v>
      </c>
      <c r="Q36" s="30">
        <f>SUM(D36:P36)</f>
        <v>128.32999999999998</v>
      </c>
      <c r="R36" s="30"/>
      <c r="S36" s="30"/>
      <c r="T36" s="30"/>
      <c r="U36" s="30"/>
      <c r="V36" s="30"/>
      <c r="W36" s="25"/>
      <c r="X36" s="1"/>
      <c r="Y36" s="1"/>
      <c r="Z36" s="1"/>
      <c r="AA36" s="1"/>
      <c r="AB36" s="1"/>
    </row>
    <row r="37" spans="1:28" ht="30" x14ac:dyDescent="0.25">
      <c r="A37" s="25"/>
      <c r="B37" s="37" t="s">
        <v>68</v>
      </c>
      <c r="C37" s="25" t="s">
        <v>0</v>
      </c>
      <c r="D37" s="28">
        <f>D36</f>
        <v>39.64</v>
      </c>
      <c r="E37" s="28">
        <f t="shared" ref="E37:P37" si="7">E36</f>
        <v>0</v>
      </c>
      <c r="F37" s="28">
        <f t="shared" si="7"/>
        <v>0</v>
      </c>
      <c r="G37" s="28">
        <f t="shared" si="7"/>
        <v>10.33</v>
      </c>
      <c r="H37" s="28">
        <f t="shared" si="7"/>
        <v>22.91</v>
      </c>
      <c r="I37" s="28">
        <f t="shared" si="7"/>
        <v>0</v>
      </c>
      <c r="J37" s="28">
        <f t="shared" si="7"/>
        <v>0</v>
      </c>
      <c r="K37" s="28">
        <f t="shared" si="7"/>
        <v>25.85</v>
      </c>
      <c r="L37" s="28">
        <f t="shared" si="7"/>
        <v>0</v>
      </c>
      <c r="M37" s="28">
        <f t="shared" si="7"/>
        <v>0</v>
      </c>
      <c r="N37" s="28">
        <f t="shared" si="7"/>
        <v>0</v>
      </c>
      <c r="O37" s="28">
        <f t="shared" si="7"/>
        <v>0</v>
      </c>
      <c r="P37" s="28">
        <f t="shared" si="7"/>
        <v>29.6</v>
      </c>
      <c r="Q37" s="30">
        <f>SUM(D37:P37)</f>
        <v>128.32999999999998</v>
      </c>
      <c r="R37" s="30"/>
      <c r="S37" s="30"/>
      <c r="T37" s="30"/>
      <c r="U37" s="30"/>
      <c r="V37" s="30"/>
      <c r="W37" s="25"/>
      <c r="X37" s="6"/>
      <c r="Y37" s="1"/>
      <c r="Z37" s="1"/>
      <c r="AA37" s="1"/>
      <c r="AB37" s="1"/>
    </row>
    <row r="38" spans="1:28" x14ac:dyDescent="0.25">
      <c r="A38" s="18" t="s">
        <v>43</v>
      </c>
      <c r="B38" s="55" t="s">
        <v>47</v>
      </c>
      <c r="C38" s="14"/>
      <c r="D38" s="33"/>
      <c r="E38" s="14"/>
      <c r="F38" s="14"/>
      <c r="G38" s="33"/>
      <c r="H38" s="33"/>
      <c r="I38" s="14"/>
      <c r="J38" s="14"/>
      <c r="K38" s="33"/>
      <c r="L38" s="14"/>
      <c r="M38" s="14"/>
      <c r="N38" s="14"/>
      <c r="O38" s="14"/>
      <c r="P38" s="14"/>
      <c r="Q38" s="43"/>
      <c r="R38" s="43"/>
      <c r="S38" s="43"/>
      <c r="T38" s="43"/>
      <c r="U38" s="43"/>
      <c r="V38" s="43"/>
      <c r="W38" s="14"/>
      <c r="X38" s="5"/>
      <c r="Y38" s="1"/>
      <c r="Z38" s="1"/>
      <c r="AA38" s="1"/>
      <c r="AB38" s="1"/>
    </row>
    <row r="39" spans="1:28" ht="105" x14ac:dyDescent="0.25">
      <c r="A39" s="25"/>
      <c r="B39" s="37" t="s">
        <v>65</v>
      </c>
      <c r="C39" s="25" t="s">
        <v>0</v>
      </c>
      <c r="D39" s="28"/>
      <c r="E39" s="25"/>
      <c r="F39" s="25"/>
      <c r="G39" s="28"/>
      <c r="H39" s="28"/>
      <c r="I39" s="25"/>
      <c r="J39" s="25"/>
      <c r="K39" s="28">
        <v>1.55</v>
      </c>
      <c r="L39" s="25">
        <v>1.71</v>
      </c>
      <c r="M39" s="25"/>
      <c r="N39" s="25"/>
      <c r="O39" s="25"/>
      <c r="P39" s="25"/>
      <c r="Q39" s="30">
        <f>SUM(D39:P39)</f>
        <v>3.26</v>
      </c>
      <c r="R39" s="30"/>
      <c r="S39" s="30"/>
      <c r="T39" s="30"/>
      <c r="U39" s="30"/>
      <c r="V39" s="30"/>
      <c r="W39" s="25"/>
      <c r="X39" s="5"/>
      <c r="Y39" s="1"/>
      <c r="Z39" s="1"/>
      <c r="AA39" s="1"/>
      <c r="AB39" s="1"/>
    </row>
    <row r="40" spans="1:28" ht="33.75" customHeight="1" x14ac:dyDescent="0.25">
      <c r="A40" s="25"/>
      <c r="B40" s="37" t="s">
        <v>87</v>
      </c>
      <c r="C40" s="25" t="s">
        <v>0</v>
      </c>
      <c r="D40" s="28"/>
      <c r="E40" s="25"/>
      <c r="F40" s="25"/>
      <c r="G40" s="28"/>
      <c r="H40" s="28"/>
      <c r="I40" s="25"/>
      <c r="J40" s="25"/>
      <c r="K40" s="28">
        <f>K39</f>
        <v>1.55</v>
      </c>
      <c r="L40" s="25">
        <f>L39</f>
        <v>1.71</v>
      </c>
      <c r="M40" s="25"/>
      <c r="N40" s="25"/>
      <c r="O40" s="25"/>
      <c r="P40" s="25"/>
      <c r="Q40" s="30">
        <f>SUM(D40:P40)</f>
        <v>3.26</v>
      </c>
      <c r="R40" s="30"/>
      <c r="S40" s="30"/>
      <c r="T40" s="30"/>
      <c r="U40" s="30"/>
      <c r="V40" s="30"/>
      <c r="W40" s="25"/>
      <c r="X40" s="5"/>
      <c r="Y40" s="1"/>
      <c r="Z40" s="1"/>
      <c r="AA40" s="1"/>
      <c r="AB40" s="1"/>
    </row>
    <row r="41" spans="1:28" x14ac:dyDescent="0.25">
      <c r="A41" s="44"/>
      <c r="B41" s="56" t="s">
        <v>5</v>
      </c>
      <c r="C41" s="46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9"/>
      <c r="X41" s="1"/>
      <c r="Y41" s="1"/>
      <c r="Z41" s="1"/>
      <c r="AA41" s="1"/>
      <c r="AB41" s="1"/>
    </row>
    <row r="42" spans="1:28" ht="42.75" x14ac:dyDescent="0.25">
      <c r="A42" s="18" t="s">
        <v>36</v>
      </c>
      <c r="B42" s="55" t="s">
        <v>37</v>
      </c>
      <c r="C42" s="8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4"/>
      <c r="X42" s="5"/>
      <c r="Y42" s="5"/>
      <c r="Z42" s="5"/>
      <c r="AA42" s="5"/>
      <c r="AB42" s="1"/>
    </row>
    <row r="43" spans="1:28" ht="93" customHeight="1" x14ac:dyDescent="0.25">
      <c r="A43" s="25"/>
      <c r="B43" s="20" t="s">
        <v>63</v>
      </c>
      <c r="C43" s="25" t="s">
        <v>0</v>
      </c>
      <c r="D43" s="28">
        <f>29.22*2.87-(2.1*1)</f>
        <v>81.761400000000009</v>
      </c>
      <c r="E43" s="28"/>
      <c r="F43" s="28"/>
      <c r="G43" s="28"/>
      <c r="H43" s="28"/>
      <c r="I43" s="28"/>
      <c r="J43" s="28"/>
      <c r="K43" s="28">
        <f>23.4*2.87-(2.1*1+0.49*2)</f>
        <v>64.078000000000003</v>
      </c>
      <c r="L43" s="28">
        <f>20.84*2.87-(2.1*1)</f>
        <v>57.710799999999999</v>
      </c>
      <c r="M43" s="28">
        <f>33.94*2.87-(2.1*1)</f>
        <v>95.3078</v>
      </c>
      <c r="N43" s="28"/>
      <c r="O43" s="28"/>
      <c r="P43" s="28">
        <f>22.82*(2.87+0.18)-(2.1*1)</f>
        <v>67.501000000000019</v>
      </c>
      <c r="Q43" s="13">
        <f>SUM(D43:P43)</f>
        <v>366.35900000000004</v>
      </c>
      <c r="R43" s="13"/>
      <c r="S43" s="13"/>
      <c r="T43" s="13"/>
      <c r="U43" s="13"/>
      <c r="V43" s="13"/>
      <c r="W43" s="12"/>
      <c r="X43" s="6"/>
      <c r="Y43" s="1"/>
      <c r="Z43" s="1"/>
      <c r="AA43" s="1"/>
      <c r="AB43" s="1"/>
    </row>
    <row r="44" spans="1:28" x14ac:dyDescent="0.25">
      <c r="A44" s="25"/>
      <c r="B44" s="20" t="s">
        <v>84</v>
      </c>
      <c r="C44" s="25" t="s">
        <v>0</v>
      </c>
      <c r="D44" s="28">
        <f>D43</f>
        <v>81.761400000000009</v>
      </c>
      <c r="E44" s="28">
        <f t="shared" ref="E44:P45" si="8">E43</f>
        <v>0</v>
      </c>
      <c r="F44" s="28">
        <f t="shared" si="8"/>
        <v>0</v>
      </c>
      <c r="G44" s="28">
        <f t="shared" si="8"/>
        <v>0</v>
      </c>
      <c r="H44" s="28">
        <f t="shared" si="8"/>
        <v>0</v>
      </c>
      <c r="I44" s="28">
        <f t="shared" si="8"/>
        <v>0</v>
      </c>
      <c r="J44" s="28">
        <f t="shared" si="8"/>
        <v>0</v>
      </c>
      <c r="K44" s="28">
        <f t="shared" si="8"/>
        <v>64.078000000000003</v>
      </c>
      <c r="L44" s="28">
        <f t="shared" si="8"/>
        <v>57.710799999999999</v>
      </c>
      <c r="M44" s="28">
        <f t="shared" si="8"/>
        <v>95.3078</v>
      </c>
      <c r="N44" s="28">
        <f t="shared" si="8"/>
        <v>0</v>
      </c>
      <c r="O44" s="28">
        <f t="shared" si="8"/>
        <v>0</v>
      </c>
      <c r="P44" s="28">
        <f t="shared" si="8"/>
        <v>67.501000000000019</v>
      </c>
      <c r="Q44" s="13">
        <f t="shared" ref="Q44:Q51" si="9">SUM(D44:P44)</f>
        <v>366.35900000000004</v>
      </c>
      <c r="R44" s="13"/>
      <c r="S44" s="13"/>
      <c r="T44" s="13"/>
      <c r="U44" s="13"/>
      <c r="V44" s="13"/>
      <c r="W44" s="12"/>
      <c r="X44" s="6"/>
      <c r="Y44" s="1"/>
      <c r="Z44" s="1"/>
      <c r="AA44" s="1"/>
      <c r="AB44" s="1"/>
    </row>
    <row r="45" spans="1:28" ht="30" x14ac:dyDescent="0.25">
      <c r="A45" s="25"/>
      <c r="B45" s="37" t="s">
        <v>59</v>
      </c>
      <c r="C45" s="25" t="s">
        <v>0</v>
      </c>
      <c r="D45" s="28">
        <f>D44</f>
        <v>81.761400000000009</v>
      </c>
      <c r="E45" s="28">
        <f t="shared" si="8"/>
        <v>0</v>
      </c>
      <c r="F45" s="28">
        <f t="shared" si="8"/>
        <v>0</v>
      </c>
      <c r="G45" s="28">
        <f t="shared" si="8"/>
        <v>0</v>
      </c>
      <c r="H45" s="28">
        <f t="shared" si="8"/>
        <v>0</v>
      </c>
      <c r="I45" s="28">
        <f t="shared" si="8"/>
        <v>0</v>
      </c>
      <c r="J45" s="28">
        <f t="shared" si="8"/>
        <v>0</v>
      </c>
      <c r="K45" s="28">
        <f t="shared" si="8"/>
        <v>64.078000000000003</v>
      </c>
      <c r="L45" s="28">
        <f t="shared" si="8"/>
        <v>57.710799999999999</v>
      </c>
      <c r="M45" s="28">
        <f t="shared" si="8"/>
        <v>95.3078</v>
      </c>
      <c r="N45" s="28">
        <f t="shared" si="8"/>
        <v>0</v>
      </c>
      <c r="O45" s="28">
        <f t="shared" si="8"/>
        <v>0</v>
      </c>
      <c r="P45" s="28">
        <f t="shared" si="8"/>
        <v>67.501000000000019</v>
      </c>
      <c r="Q45" s="13">
        <f t="shared" si="9"/>
        <v>366.35900000000004</v>
      </c>
      <c r="R45" s="13"/>
      <c r="S45" s="13"/>
      <c r="T45" s="13"/>
      <c r="U45" s="13"/>
      <c r="V45" s="13"/>
      <c r="W45" s="12"/>
      <c r="X45" s="6"/>
      <c r="Y45" s="1"/>
      <c r="Z45" s="1"/>
      <c r="AA45" s="1"/>
      <c r="AB45" s="1"/>
    </row>
    <row r="46" spans="1:28" ht="114" x14ac:dyDescent="0.25">
      <c r="A46" s="14"/>
      <c r="B46" s="55" t="s">
        <v>58</v>
      </c>
      <c r="C46" s="1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15"/>
      <c r="R46" s="15"/>
      <c r="S46" s="15"/>
      <c r="T46" s="15"/>
      <c r="U46" s="15"/>
      <c r="V46" s="15"/>
      <c r="W46" s="14" t="s">
        <v>50</v>
      </c>
      <c r="X46" s="6"/>
      <c r="Y46" s="1"/>
      <c r="Z46" s="1"/>
      <c r="AA46" s="1"/>
      <c r="AB46" s="1"/>
    </row>
    <row r="47" spans="1:28" ht="47.25" x14ac:dyDescent="0.25">
      <c r="A47" s="12"/>
      <c r="B47" s="53" t="s">
        <v>61</v>
      </c>
      <c r="C47" s="12" t="s">
        <v>0</v>
      </c>
      <c r="D47" s="11"/>
      <c r="E47" s="11">
        <f>6.8*2.87</f>
        <v>19.516000000000002</v>
      </c>
      <c r="F47" s="11">
        <f>112.15+49.08</f>
        <v>161.23000000000002</v>
      </c>
      <c r="G47" s="11">
        <f>(2.75*2)*2.87</f>
        <v>15.785</v>
      </c>
      <c r="H47" s="11">
        <f>20.4*2.87-(1.05*2.1)</f>
        <v>56.342999999999996</v>
      </c>
      <c r="I47" s="11">
        <f>9.52*2.87</f>
        <v>27.322399999999998</v>
      </c>
      <c r="J47" s="11">
        <f>6.66*2.87</f>
        <v>19.1142</v>
      </c>
      <c r="K47" s="11"/>
      <c r="L47" s="11"/>
      <c r="M47" s="11"/>
      <c r="N47" s="11">
        <f>23.9*2.87-1.05*2.1</f>
        <v>66.388000000000005</v>
      </c>
      <c r="O47" s="11">
        <f>2.68*2.87</f>
        <v>7.6916000000000011</v>
      </c>
      <c r="P47" s="11"/>
      <c r="Q47" s="13">
        <f t="shared" si="9"/>
        <v>373.39019999999994</v>
      </c>
      <c r="R47" s="50"/>
      <c r="S47" s="50"/>
      <c r="T47" s="50"/>
      <c r="U47" s="50"/>
      <c r="V47" s="50"/>
      <c r="W47" s="12"/>
      <c r="X47" s="6"/>
      <c r="Y47" s="1"/>
      <c r="Z47" s="1"/>
      <c r="AA47" s="1"/>
      <c r="AB47" s="1"/>
    </row>
    <row r="48" spans="1:28" ht="47.25" x14ac:dyDescent="0.25">
      <c r="A48" s="12"/>
      <c r="B48" s="53" t="s">
        <v>62</v>
      </c>
      <c r="C48" s="12" t="s">
        <v>0</v>
      </c>
      <c r="D48" s="11"/>
      <c r="E48" s="11">
        <f>6.78*2.87</f>
        <v>19.458600000000001</v>
      </c>
      <c r="F48" s="11"/>
      <c r="G48" s="11">
        <f>(3.85*2)*2.87-1.2*2.1</f>
        <v>19.579000000000001</v>
      </c>
      <c r="H48" s="11">
        <f>3.96*2.87</f>
        <v>11.3652</v>
      </c>
      <c r="I48" s="11">
        <f>(13.08*2.87)-1.05*2.1</f>
        <v>35.334600000000002</v>
      </c>
      <c r="J48" s="11">
        <f>(6.65*2.87-1.08*2.1)</f>
        <v>16.817500000000003</v>
      </c>
      <c r="K48" s="11"/>
      <c r="L48" s="11"/>
      <c r="M48" s="11"/>
      <c r="N48" s="11"/>
      <c r="O48" s="11">
        <f>8.75*2.87-(1.2*2.1)</f>
        <v>22.592500000000001</v>
      </c>
      <c r="P48" s="11"/>
      <c r="Q48" s="13">
        <f t="shared" si="9"/>
        <v>125.1474</v>
      </c>
      <c r="R48" s="50"/>
      <c r="S48" s="50"/>
      <c r="T48" s="50"/>
      <c r="U48" s="50"/>
      <c r="V48" s="50"/>
      <c r="W48" s="12"/>
      <c r="X48" s="6"/>
      <c r="Y48" s="1"/>
      <c r="Z48" s="1"/>
      <c r="AA48" s="1"/>
      <c r="AB48" s="1"/>
    </row>
    <row r="49" spans="1:28" x14ac:dyDescent="0.25">
      <c r="A49" s="12"/>
      <c r="B49" s="20" t="s">
        <v>85</v>
      </c>
      <c r="C49" s="12" t="s">
        <v>0</v>
      </c>
      <c r="D49" s="11"/>
      <c r="E49" s="11">
        <f>E47+E48</f>
        <v>38.974600000000002</v>
      </c>
      <c r="F49" s="11">
        <f>F47</f>
        <v>161.23000000000002</v>
      </c>
      <c r="G49" s="11">
        <f>G47+G48</f>
        <v>35.364000000000004</v>
      </c>
      <c r="H49" s="11">
        <f t="shared" ref="H49:N49" si="10">H47+H48</f>
        <v>67.708199999999991</v>
      </c>
      <c r="I49" s="11">
        <f>I47+I48</f>
        <v>62.656999999999996</v>
      </c>
      <c r="J49" s="11">
        <f t="shared" si="10"/>
        <v>35.931700000000006</v>
      </c>
      <c r="K49" s="11">
        <f t="shared" si="10"/>
        <v>0</v>
      </c>
      <c r="L49" s="11">
        <f t="shared" si="10"/>
        <v>0</v>
      </c>
      <c r="M49" s="11">
        <f t="shared" si="10"/>
        <v>0</v>
      </c>
      <c r="N49" s="11">
        <f t="shared" si="10"/>
        <v>66.388000000000005</v>
      </c>
      <c r="O49" s="11"/>
      <c r="P49" s="11"/>
      <c r="Q49" s="13">
        <f t="shared" si="9"/>
        <v>468.25350000000003</v>
      </c>
      <c r="R49" s="50"/>
      <c r="S49" s="50"/>
      <c r="T49" s="50"/>
      <c r="U49" s="50"/>
      <c r="V49" s="50"/>
      <c r="W49" s="12"/>
      <c r="X49" s="6"/>
      <c r="Y49" s="1"/>
      <c r="Z49" s="1"/>
      <c r="AA49" s="1"/>
      <c r="AB49" s="1"/>
    </row>
    <row r="50" spans="1:28" ht="30" x14ac:dyDescent="0.25">
      <c r="A50" s="12"/>
      <c r="B50" s="37" t="s">
        <v>59</v>
      </c>
      <c r="C50" s="12" t="s">
        <v>0</v>
      </c>
      <c r="D50" s="11"/>
      <c r="E50" s="11">
        <f>E49</f>
        <v>38.974600000000002</v>
      </c>
      <c r="F50" s="11">
        <f>F49</f>
        <v>161.23000000000002</v>
      </c>
      <c r="G50" s="11">
        <f>G49</f>
        <v>35.364000000000004</v>
      </c>
      <c r="H50" s="11">
        <f t="shared" ref="H50:N50" si="11">H49</f>
        <v>67.708199999999991</v>
      </c>
      <c r="I50" s="11">
        <f>I49</f>
        <v>62.656999999999996</v>
      </c>
      <c r="J50" s="11">
        <f t="shared" si="11"/>
        <v>35.931700000000006</v>
      </c>
      <c r="K50" s="11">
        <f t="shared" si="11"/>
        <v>0</v>
      </c>
      <c r="L50" s="11">
        <f t="shared" si="11"/>
        <v>0</v>
      </c>
      <c r="M50" s="11">
        <f t="shared" si="11"/>
        <v>0</v>
      </c>
      <c r="N50" s="11">
        <f t="shared" si="11"/>
        <v>66.388000000000005</v>
      </c>
      <c r="O50" s="11"/>
      <c r="P50" s="11"/>
      <c r="Q50" s="13">
        <f t="shared" si="9"/>
        <v>468.25350000000003</v>
      </c>
      <c r="R50" s="50"/>
      <c r="S50" s="50"/>
      <c r="T50" s="50"/>
      <c r="U50" s="50"/>
      <c r="V50" s="50"/>
      <c r="W50" s="12"/>
      <c r="X50" s="6"/>
      <c r="Y50" s="1"/>
      <c r="Z50" s="1"/>
      <c r="AA50" s="1"/>
      <c r="AB50" s="1"/>
    </row>
    <row r="51" spans="1:28" ht="45" x14ac:dyDescent="0.25">
      <c r="A51" s="12"/>
      <c r="B51" s="4" t="s">
        <v>77</v>
      </c>
      <c r="C51" s="12" t="s">
        <v>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>
        <f>(2.68+8.75)*2.87-(1.2*2.1)</f>
        <v>30.284099999999999</v>
      </c>
      <c r="P51" s="11"/>
      <c r="Q51" s="13">
        <f t="shared" si="9"/>
        <v>30.284099999999999</v>
      </c>
      <c r="R51" s="50"/>
      <c r="S51" s="50"/>
      <c r="T51" s="50"/>
      <c r="U51" s="50"/>
      <c r="V51" s="50"/>
      <c r="W51" s="12"/>
      <c r="X51" s="6"/>
      <c r="Y51" s="1"/>
      <c r="Z51" s="1"/>
      <c r="AA51" s="1"/>
      <c r="AB51" s="1"/>
    </row>
    <row r="52" spans="1:28" ht="42.75" x14ac:dyDescent="0.25">
      <c r="A52" s="14"/>
      <c r="B52" s="7" t="s">
        <v>49</v>
      </c>
      <c r="C52" s="14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15"/>
      <c r="R52" s="15"/>
      <c r="S52" s="15"/>
      <c r="T52" s="15"/>
      <c r="U52" s="15"/>
      <c r="V52" s="15"/>
      <c r="W52" s="14"/>
      <c r="X52" s="6"/>
      <c r="Y52" s="1"/>
      <c r="Z52" s="1"/>
      <c r="AA52" s="1"/>
      <c r="AB52" s="1"/>
    </row>
    <row r="53" spans="1:28" ht="105" x14ac:dyDescent="0.25">
      <c r="A53" s="22" t="s">
        <v>41</v>
      </c>
      <c r="B53" s="9" t="s">
        <v>70</v>
      </c>
      <c r="C53" s="25" t="s">
        <v>0</v>
      </c>
      <c r="D53" s="28"/>
      <c r="E53" s="28"/>
      <c r="F53" s="28"/>
      <c r="G53" s="28"/>
      <c r="H53" s="28"/>
      <c r="I53" s="28"/>
      <c r="J53" s="28"/>
      <c r="K53" s="28">
        <f>5.24*7.28</f>
        <v>38.147200000000005</v>
      </c>
      <c r="L53" s="28"/>
      <c r="M53" s="28"/>
      <c r="N53" s="28"/>
      <c r="O53" s="28"/>
      <c r="P53" s="28"/>
      <c r="Q53" s="13">
        <f>SUM(D53:P53)</f>
        <v>38.147200000000005</v>
      </c>
      <c r="R53" s="13"/>
      <c r="S53" s="13"/>
      <c r="T53" s="13"/>
      <c r="U53" s="13"/>
      <c r="V53" s="13"/>
      <c r="W53" s="12" t="s">
        <v>50</v>
      </c>
      <c r="X53" s="6"/>
      <c r="Y53" s="1"/>
      <c r="Z53" s="1"/>
      <c r="AA53" s="1"/>
      <c r="AB53" s="1"/>
    </row>
    <row r="54" spans="1:28" ht="105" x14ac:dyDescent="0.25">
      <c r="A54" s="22" t="s">
        <v>48</v>
      </c>
      <c r="B54" s="9" t="s">
        <v>69</v>
      </c>
      <c r="C54" s="25" t="s">
        <v>0</v>
      </c>
      <c r="D54" s="28"/>
      <c r="E54" s="28"/>
      <c r="F54" s="28"/>
      <c r="G54" s="28"/>
      <c r="H54" s="28"/>
      <c r="I54" s="28"/>
      <c r="J54" s="28"/>
      <c r="K54" s="28"/>
      <c r="L54" s="28">
        <f>5.02*7.28</f>
        <v>36.5456</v>
      </c>
      <c r="M54" s="28"/>
      <c r="N54" s="28"/>
      <c r="O54" s="28"/>
      <c r="P54" s="28"/>
      <c r="Q54" s="13">
        <f>SUM(D54:P54)</f>
        <v>36.5456</v>
      </c>
      <c r="R54" s="13"/>
      <c r="S54" s="13"/>
      <c r="T54" s="13"/>
      <c r="U54" s="13"/>
      <c r="V54" s="13"/>
      <c r="W54" s="12" t="s">
        <v>50</v>
      </c>
      <c r="X54" s="6"/>
      <c r="Y54" s="1"/>
      <c r="Z54" s="1"/>
      <c r="AA54" s="1"/>
      <c r="AB54" s="1"/>
    </row>
    <row r="55" spans="1:28" x14ac:dyDescent="0.25">
      <c r="A55" s="25"/>
      <c r="B55" s="37" t="s">
        <v>86</v>
      </c>
      <c r="C55" s="25" t="s">
        <v>0</v>
      </c>
      <c r="D55" s="28"/>
      <c r="E55" s="28"/>
      <c r="F55" s="28"/>
      <c r="G55" s="28"/>
      <c r="H55" s="28"/>
      <c r="I55" s="28"/>
      <c r="J55" s="28"/>
      <c r="K55" s="28">
        <f>K53</f>
        <v>38.147200000000005</v>
      </c>
      <c r="L55" s="28">
        <f>L54</f>
        <v>36.5456</v>
      </c>
      <c r="M55" s="28"/>
      <c r="N55" s="28"/>
      <c r="O55" s="28"/>
      <c r="P55" s="28"/>
      <c r="Q55" s="13">
        <f>SUM(D55:P55)</f>
        <v>74.692800000000005</v>
      </c>
      <c r="R55" s="13"/>
      <c r="S55" s="13"/>
      <c r="T55" s="13"/>
      <c r="U55" s="13"/>
      <c r="V55" s="13"/>
      <c r="W55" s="12"/>
      <c r="X55" s="6"/>
      <c r="Y55" s="1"/>
      <c r="Z55" s="1"/>
      <c r="AA55" s="1"/>
      <c r="AB55" s="1"/>
    </row>
    <row r="56" spans="1:28" x14ac:dyDescent="0.25">
      <c r="A56" s="57"/>
      <c r="B56" s="58"/>
      <c r="C56" s="57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60"/>
      <c r="R56" s="60"/>
      <c r="S56" s="60"/>
      <c r="T56" s="60"/>
      <c r="U56" s="60"/>
      <c r="V56" s="60"/>
      <c r="W56" s="61"/>
      <c r="X56" s="6"/>
      <c r="Y56" s="1"/>
      <c r="Z56" s="1"/>
      <c r="AA56" s="1"/>
      <c r="AB56" s="1"/>
    </row>
    <row r="57" spans="1:28" x14ac:dyDescent="0.25">
      <c r="A57" s="64" t="s">
        <v>88</v>
      </c>
      <c r="B57" s="64"/>
      <c r="C57" s="64"/>
    </row>
    <row r="58" spans="1:28" x14ac:dyDescent="0.25">
      <c r="A58" s="64" t="s">
        <v>91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</row>
  </sheetData>
  <mergeCells count="2">
    <mergeCell ref="A57:C57"/>
    <mergeCell ref="A58:T58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тех.пом подвал</vt:lpstr>
      <vt:lpstr>'тех.пом подвал'!Область_печати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IgnatevaAO</dc:creator>
  <cp:lastModifiedBy>LahtionovDV</cp:lastModifiedBy>
  <cp:lastPrinted>2022-01-27T08:44:56Z</cp:lastPrinted>
  <dcterms:created xsi:type="dcterms:W3CDTF">2015-06-05T18:19:34Z</dcterms:created>
  <dcterms:modified xsi:type="dcterms:W3CDTF">2026-02-16T14:16:53Z</dcterms:modified>
</cp:coreProperties>
</file>